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40" yWindow="460" windowWidth="326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'Bulges_Constr_NonXtal_GPCRdb#'!$A$1:$AE$417</definedName>
    <definedName name="_xlnm._FilterDatabase" localSheetId="5" hidden="1">'SegEnds_NonXtal_BW#'!$A$1:$AL$417</definedName>
    <definedName name="_xlnm._FilterDatabase" localSheetId="0" hidden="1">'SegEnds_Xtal_Prot#'!$A$1:$CT$509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15" localSheetId="10">Xtal_Templ!$A$2:$B$417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'Bulges_Constr_NonXtal_GPCRdb#'!$A$1:$AE$417</definedName>
    <definedName name="Z_3E3401AF_8459_8641_BD70_AD04F80E86ED_.wvu.FilterData" localSheetId="5" hidden="1">'SegEnds_NonXtal_BW#'!$A$1:$AL$417</definedName>
    <definedName name="Z_3E3401AF_8459_8641_BD70_AD04F80E86ED_.wvu.FilterData" localSheetId="0" hidden="1">'SegEnds_Xtal_Prot#'!$A$1:$CT$509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0" i="1" l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BC463" i="1"/>
  <c r="CT463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487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AR487" i="1"/>
  <c r="AT487" i="1"/>
  <c r="AV487" i="1"/>
  <c r="AX487" i="1"/>
  <c r="AZ487" i="1"/>
  <c r="BA487" i="1"/>
  <c r="BB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BC487" i="1"/>
  <c r="CT487" i="1"/>
  <c r="A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D92" i="2"/>
  <c r="B374" i="4"/>
  <c r="D374" i="4"/>
  <c r="E355" i="5"/>
  <c r="D51" i="2"/>
  <c r="B373" i="4"/>
  <c r="D373" i="4"/>
  <c r="E354" i="5"/>
  <c r="AC93" i="2"/>
  <c r="AD93" i="2"/>
  <c r="AE93" i="2"/>
  <c r="I92" i="2"/>
  <c r="I374" i="4"/>
  <c r="L355" i="5"/>
  <c r="H92" i="2"/>
  <c r="H374" i="4"/>
  <c r="K355" i="5"/>
  <c r="I51" i="2"/>
  <c r="I373" i="4"/>
  <c r="L354" i="5"/>
  <c r="H51" i="2"/>
  <c r="H373" i="4"/>
  <c r="K354" i="5"/>
  <c r="AF93" i="2"/>
  <c r="AG93" i="2"/>
  <c r="AH93" i="2"/>
  <c r="AI93" i="2"/>
  <c r="AJ93" i="2"/>
  <c r="K92" i="2"/>
  <c r="K374" i="4"/>
  <c r="O355" i="5"/>
  <c r="J92" i="2"/>
  <c r="J374" i="4"/>
  <c r="N355" i="5"/>
  <c r="K51" i="2"/>
  <c r="K373" i="4"/>
  <c r="O354" i="5"/>
  <c r="J51" i="2"/>
  <c r="J373" i="4"/>
  <c r="N354" i="5"/>
  <c r="AK93" i="2"/>
  <c r="M92" i="2"/>
  <c r="M374" i="4"/>
  <c r="R355" i="5"/>
  <c r="L92" i="2"/>
  <c r="L374" i="4"/>
  <c r="Q355" i="5"/>
  <c r="M51" i="2"/>
  <c r="M373" i="4"/>
  <c r="R354" i="5"/>
  <c r="L51" i="2"/>
  <c r="L373" i="4"/>
  <c r="Q354" i="5"/>
  <c r="AL93" i="2"/>
  <c r="AM93" i="2"/>
  <c r="BB479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Z479" i="1"/>
  <c r="BA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Z480" i="1"/>
  <c r="BA480" i="1"/>
  <c r="BB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AZ486" i="1"/>
  <c r="BA486" i="1"/>
  <c r="BB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BC486" i="1"/>
  <c r="CT486" i="1"/>
  <c r="A489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AR489" i="1"/>
  <c r="AT489" i="1"/>
  <c r="AV489" i="1"/>
  <c r="AX489" i="1"/>
  <c r="AZ489" i="1"/>
  <c r="BA489" i="1"/>
  <c r="BB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BC489" i="1"/>
  <c r="CT489" i="1"/>
  <c r="A488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AR488" i="1"/>
  <c r="AT488" i="1"/>
  <c r="AV488" i="1"/>
  <c r="AX488" i="1"/>
  <c r="AZ488" i="1"/>
  <c r="BA488" i="1"/>
  <c r="BB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BC488" i="1"/>
  <c r="CT488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92" i="2"/>
  <c r="A445" i="1"/>
  <c r="C92" i="2"/>
  <c r="E92" i="2"/>
  <c r="F92" i="2"/>
  <c r="G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D91" i="2"/>
  <c r="B310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E51" i="2"/>
  <c r="F51" i="2"/>
  <c r="G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D310" i="4"/>
  <c r="E317" i="5"/>
  <c r="A490" i="1"/>
  <c r="A491" i="1"/>
  <c r="A492" i="1"/>
  <c r="AC92" i="2"/>
  <c r="AD92" i="2"/>
  <c r="AE92" i="2"/>
  <c r="I310" i="4"/>
  <c r="L317" i="5"/>
  <c r="K317" i="5"/>
  <c r="AF92" i="2"/>
  <c r="AG92" i="2"/>
  <c r="AH92" i="2"/>
  <c r="AI92" i="2"/>
  <c r="AJ92" i="2"/>
  <c r="O317" i="5"/>
  <c r="J310" i="4"/>
  <c r="N317" i="5"/>
  <c r="AK92" i="2"/>
  <c r="M310" i="4"/>
  <c r="R317" i="5"/>
  <c r="L310" i="4"/>
  <c r="Q317" i="5"/>
  <c r="AL92" i="2"/>
  <c r="AM92" i="2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Z478" i="1"/>
  <c r="BA478" i="1"/>
  <c r="BB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BC478" i="1"/>
  <c r="CT478" i="1"/>
  <c r="A10" i="13"/>
  <c r="B10" i="13"/>
  <c r="C10" i="13"/>
  <c r="AD317" i="5"/>
  <c r="AC317" i="5"/>
  <c r="E10" i="13"/>
  <c r="F10" i="13"/>
  <c r="G10" i="13"/>
  <c r="H10" i="13"/>
  <c r="A91" i="2"/>
  <c r="AA91" i="2"/>
  <c r="AB91" i="2"/>
  <c r="B216" i="4"/>
  <c r="A493" i="1"/>
  <c r="A494" i="1"/>
  <c r="A495" i="1"/>
  <c r="A502" i="1"/>
  <c r="A503" i="1"/>
  <c r="A504" i="1"/>
  <c r="A505" i="1"/>
  <c r="A506" i="1"/>
  <c r="A507" i="1"/>
  <c r="A508" i="1"/>
  <c r="A509" i="1"/>
  <c r="D216" i="4"/>
  <c r="E295" i="5"/>
  <c r="AC91" i="2"/>
  <c r="AD91" i="2"/>
  <c r="AE91" i="2"/>
  <c r="H216" i="4"/>
  <c r="K295" i="5"/>
  <c r="AF91" i="2"/>
  <c r="AG91" i="2"/>
  <c r="AH91" i="2"/>
  <c r="AI91" i="2"/>
  <c r="AJ91" i="2"/>
  <c r="AK91" i="2"/>
  <c r="M216" i="4"/>
  <c r="R295" i="5"/>
  <c r="L216" i="4"/>
  <c r="Q295" i="5"/>
  <c r="AL91" i="2"/>
  <c r="AM91" i="2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AZ476" i="1"/>
  <c r="BA476" i="1"/>
  <c r="BB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BC476" i="1"/>
  <c r="CT476" i="1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Z477" i="1"/>
  <c r="BA477" i="1"/>
  <c r="BB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BC477" i="1"/>
  <c r="CT477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Z452" i="1"/>
  <c r="BA452" i="1"/>
  <c r="BB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BC452" i="1"/>
  <c r="CT452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Z451" i="1"/>
  <c r="BA451" i="1"/>
  <c r="BB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BC451" i="1"/>
  <c r="CT451" i="1"/>
  <c r="A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BC462" i="1"/>
  <c r="CT462" i="1"/>
  <c r="A90" i="2"/>
  <c r="AA90" i="2"/>
  <c r="AB90" i="2"/>
  <c r="B138" i="4"/>
  <c r="D138" i="4"/>
  <c r="E115" i="5"/>
  <c r="AC90" i="2"/>
  <c r="AD90" i="2"/>
  <c r="AE90" i="2"/>
  <c r="K115" i="5"/>
  <c r="L295" i="5"/>
  <c r="AF90" i="2"/>
  <c r="AG90" i="2"/>
  <c r="AH90" i="2"/>
  <c r="AI90" i="2"/>
  <c r="AJ90" i="2"/>
  <c r="N295" i="5"/>
  <c r="O295" i="5"/>
  <c r="AK90" i="2"/>
  <c r="M138" i="4"/>
  <c r="R115" i="5"/>
  <c r="L138" i="4"/>
  <c r="Q115" i="5"/>
  <c r="AL90" i="2"/>
  <c r="AM90" i="2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Z381" i="1"/>
  <c r="BA381" i="1"/>
  <c r="BB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BC381" i="1"/>
  <c r="CT381" i="1"/>
  <c r="A89" i="2"/>
  <c r="AA89" i="2"/>
  <c r="AB89" i="2"/>
  <c r="B255" i="4"/>
  <c r="D255" i="4"/>
  <c r="E98" i="5"/>
  <c r="AC89" i="2"/>
  <c r="AD89" i="2"/>
  <c r="AE89" i="2"/>
  <c r="H255" i="4"/>
  <c r="K98" i="5"/>
  <c r="AF89" i="2"/>
  <c r="AG89" i="2"/>
  <c r="AH89" i="2"/>
  <c r="AI89" i="2"/>
  <c r="AJ89" i="2"/>
  <c r="AK89" i="2"/>
  <c r="M255" i="4"/>
  <c r="R98" i="5"/>
  <c r="L255" i="4"/>
  <c r="Q98" i="5"/>
  <c r="AL89" i="2"/>
  <c r="AM89" i="2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B118" i="6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25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T255" i="4" a="1"/>
  <c r="T255" i="4"/>
  <c r="B98" i="5"/>
  <c r="B254" i="4"/>
  <c r="C254" i="4"/>
  <c r="C255" i="4"/>
  <c r="C98" i="5"/>
  <c r="D254" i="4"/>
  <c r="F98" i="5"/>
  <c r="H98" i="5"/>
  <c r="I98" i="5"/>
  <c r="H254" i="4"/>
  <c r="L98" i="5"/>
  <c r="N98" i="5"/>
  <c r="O98" i="5"/>
  <c r="L254" i="4"/>
  <c r="M254" i="4"/>
  <c r="N254" i="4"/>
  <c r="T98" i="5"/>
  <c r="O254" i="4"/>
  <c r="O255" i="4"/>
  <c r="U98" i="5"/>
  <c r="P254" i="4"/>
  <c r="P255" i="4"/>
  <c r="W98" i="5"/>
  <c r="Q254" i="4"/>
  <c r="Q255" i="4"/>
  <c r="X98" i="5"/>
  <c r="Z98" i="5"/>
  <c r="AA98" i="5"/>
  <c r="AI254" i="4"/>
  <c r="T254" i="4" a="1"/>
  <c r="T254" i="4"/>
  <c r="AC98" i="5"/>
  <c r="H36" i="3"/>
  <c r="U254" i="4" a="1"/>
  <c r="U254" i="4"/>
  <c r="H37" i="3"/>
  <c r="H34" i="3"/>
  <c r="U255" i="4" a="1"/>
  <c r="U255" i="4"/>
  <c r="AD98" i="5"/>
  <c r="V254" i="4"/>
  <c r="V255" i="4"/>
  <c r="AF98" i="5"/>
  <c r="AG98" i="5"/>
  <c r="X254" i="4"/>
  <c r="X255" i="4"/>
  <c r="AI98" i="5"/>
  <c r="Y254" i="4"/>
  <c r="Y255" i="4"/>
  <c r="AJ98" i="5"/>
  <c r="Z254" i="4"/>
  <c r="Z255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255" i="4"/>
  <c r="F255" i="4"/>
  <c r="I255" i="4"/>
  <c r="J255" i="4"/>
  <c r="R255" i="4"/>
  <c r="AA255" i="4"/>
  <c r="AB255" i="4"/>
  <c r="AC255" i="4"/>
  <c r="AD255" i="4"/>
  <c r="AE255" i="4"/>
  <c r="AF255" i="4"/>
  <c r="AG255" i="4"/>
  <c r="AH255" i="4"/>
  <c r="AJ255" i="4"/>
  <c r="AK255" i="4"/>
  <c r="AL255" i="4"/>
  <c r="A88" i="2"/>
  <c r="AA88" i="2"/>
  <c r="AB88" i="2"/>
  <c r="B43" i="4"/>
  <c r="D43" i="4"/>
  <c r="E260" i="5"/>
  <c r="AC88" i="2"/>
  <c r="AD88" i="2"/>
  <c r="AE88" i="2"/>
  <c r="K260" i="5"/>
  <c r="AF88" i="2"/>
  <c r="AG88" i="2"/>
  <c r="AH88" i="2"/>
  <c r="AI88" i="2"/>
  <c r="AJ88" i="2"/>
  <c r="AK88" i="2"/>
  <c r="M43" i="4"/>
  <c r="R260" i="5"/>
  <c r="L43" i="4"/>
  <c r="Q260" i="5"/>
  <c r="AL88" i="2"/>
  <c r="AM88" i="2"/>
  <c r="D182" i="9"/>
  <c r="E182" i="9"/>
  <c r="F182" i="9"/>
  <c r="G182" i="9"/>
  <c r="H182" i="9"/>
  <c r="E419" i="7"/>
  <c r="C419" i="7"/>
  <c r="D419" i="7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150" i="1"/>
  <c r="B26" i="4"/>
  <c r="N26" i="4"/>
  <c r="N43" i="4"/>
  <c r="A87" i="2"/>
  <c r="AA87" i="2"/>
  <c r="AB87" i="2"/>
  <c r="A236" i="1"/>
  <c r="B286" i="4"/>
  <c r="D286" i="4"/>
  <c r="E177" i="5"/>
  <c r="AC87" i="2"/>
  <c r="AD87" i="2"/>
  <c r="AE87" i="2"/>
  <c r="L177" i="5"/>
  <c r="K177" i="5"/>
  <c r="AF87" i="2"/>
  <c r="AG87" i="2"/>
  <c r="AH87" i="2"/>
  <c r="AI87" i="2"/>
  <c r="AJ87" i="2"/>
  <c r="O177" i="5"/>
  <c r="N177" i="5"/>
  <c r="AK87" i="2"/>
  <c r="L286" i="4"/>
  <c r="Q177" i="5"/>
  <c r="AL87" i="2"/>
  <c r="AM87" i="2"/>
  <c r="AV195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X195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A61" i="5"/>
  <c r="B288" i="4"/>
  <c r="P288" i="4"/>
  <c r="W61" i="5"/>
  <c r="O61" i="5"/>
  <c r="K61" i="5"/>
  <c r="W288" i="4"/>
  <c r="AG61" i="5"/>
  <c r="AF61" i="5"/>
  <c r="C288" i="4"/>
  <c r="C61" i="5"/>
  <c r="D288" i="4"/>
  <c r="E61" i="5"/>
  <c r="L61" i="5"/>
  <c r="N61" i="5"/>
  <c r="L288" i="4"/>
  <c r="Q61" i="5"/>
  <c r="O288" i="4"/>
  <c r="U61" i="5"/>
  <c r="Q288" i="4"/>
  <c r="X61" i="5"/>
  <c r="R288" i="4"/>
  <c r="Z61" i="5"/>
  <c r="AI288" i="4"/>
  <c r="T288" i="4" a="1"/>
  <c r="T288" i="4"/>
  <c r="AC61" i="5"/>
  <c r="H15" i="3"/>
  <c r="U288" i="4" a="1"/>
  <c r="U288" i="4"/>
  <c r="AD61" i="5"/>
  <c r="X288" i="4"/>
  <c r="AI61" i="5"/>
  <c r="Y288" i="4"/>
  <c r="AJ61" i="5"/>
  <c r="Z288" i="4"/>
  <c r="AL61" i="5"/>
  <c r="R61" i="5"/>
  <c r="T61" i="5"/>
  <c r="AN61" i="5"/>
  <c r="AA189" i="5"/>
  <c r="B291" i="4"/>
  <c r="P291" i="4"/>
  <c r="W189" i="5"/>
  <c r="O189" i="5"/>
  <c r="K189" i="5"/>
  <c r="W291" i="4"/>
  <c r="AG189" i="5"/>
  <c r="AF189" i="5"/>
  <c r="C291" i="4"/>
  <c r="C189" i="5"/>
  <c r="D291" i="4"/>
  <c r="E189" i="5"/>
  <c r="L189" i="5"/>
  <c r="N189" i="5"/>
  <c r="L291" i="4"/>
  <c r="Q189" i="5"/>
  <c r="O291" i="4"/>
  <c r="U189" i="5"/>
  <c r="Q291" i="4"/>
  <c r="X189" i="5"/>
  <c r="R291" i="4"/>
  <c r="Z189" i="5"/>
  <c r="AI291" i="4"/>
  <c r="T291" i="4" a="1"/>
  <c r="T291" i="4"/>
  <c r="AC189" i="5"/>
  <c r="AD189" i="5"/>
  <c r="X291" i="4"/>
  <c r="AI189" i="5"/>
  <c r="Y291" i="4"/>
  <c r="AJ189" i="5"/>
  <c r="Z291" i="4"/>
  <c r="AL189" i="5"/>
  <c r="R189" i="5"/>
  <c r="T189" i="5"/>
  <c r="AN189" i="5"/>
  <c r="AA176" i="5"/>
  <c r="B289" i="4"/>
  <c r="P289" i="4"/>
  <c r="W176" i="5"/>
  <c r="O176" i="5"/>
  <c r="K176" i="5"/>
  <c r="W289" i="4"/>
  <c r="AG176" i="5"/>
  <c r="AF176" i="5"/>
  <c r="C289" i="4"/>
  <c r="C176" i="5"/>
  <c r="D289" i="4"/>
  <c r="E176" i="5"/>
  <c r="L176" i="5"/>
  <c r="N176" i="5"/>
  <c r="L289" i="4"/>
  <c r="Q176" i="5"/>
  <c r="O289" i="4"/>
  <c r="U176" i="5"/>
  <c r="Q289" i="4"/>
  <c r="X176" i="5"/>
  <c r="R289" i="4"/>
  <c r="Z176" i="5"/>
  <c r="AI289" i="4"/>
  <c r="T289" i="4" a="1"/>
  <c r="T289" i="4"/>
  <c r="AC176" i="5"/>
  <c r="AD176" i="5"/>
  <c r="X289" i="4"/>
  <c r="AI176" i="5"/>
  <c r="Y289" i="4"/>
  <c r="AJ176" i="5"/>
  <c r="Z289" i="4"/>
  <c r="AL176" i="5"/>
  <c r="F176" i="5"/>
  <c r="R176" i="5"/>
  <c r="T176" i="5"/>
  <c r="AN176" i="5"/>
  <c r="AA178" i="5"/>
  <c r="B290" i="4"/>
  <c r="P290" i="4"/>
  <c r="W178" i="5"/>
  <c r="O178" i="5"/>
  <c r="H290" i="4"/>
  <c r="K178" i="5"/>
  <c r="W290" i="4"/>
  <c r="AG178" i="5"/>
  <c r="AF178" i="5"/>
  <c r="C290" i="4"/>
  <c r="C178" i="5"/>
  <c r="D290" i="4"/>
  <c r="E178" i="5"/>
  <c r="L178" i="5"/>
  <c r="J290" i="4"/>
  <c r="N178" i="5"/>
  <c r="L290" i="4"/>
  <c r="Q178" i="5"/>
  <c r="M290" i="4"/>
  <c r="R178" i="5"/>
  <c r="T178" i="5"/>
  <c r="O290" i="4"/>
  <c r="U178" i="5"/>
  <c r="Q290" i="4"/>
  <c r="X178" i="5"/>
  <c r="R290" i="4"/>
  <c r="Z178" i="5"/>
  <c r="AI290" i="4"/>
  <c r="T290" i="4" a="1"/>
  <c r="T290" i="4"/>
  <c r="AC178" i="5"/>
  <c r="AD178" i="5"/>
  <c r="X290" i="4"/>
  <c r="AI178" i="5"/>
  <c r="Y290" i="4"/>
  <c r="AJ178" i="5"/>
  <c r="Z290" i="4"/>
  <c r="AL178" i="5"/>
  <c r="F178" i="5"/>
  <c r="AN178" i="5"/>
  <c r="AA177" i="5"/>
  <c r="P286" i="4"/>
  <c r="W177" i="5"/>
  <c r="W286" i="4"/>
  <c r="AG177" i="5"/>
  <c r="AF177" i="5"/>
  <c r="C286" i="4"/>
  <c r="C177" i="5"/>
  <c r="O286" i="4"/>
  <c r="U177" i="5"/>
  <c r="Q286" i="4"/>
  <c r="X177" i="5"/>
  <c r="R286" i="4"/>
  <c r="Z177" i="5"/>
  <c r="AI286" i="4"/>
  <c r="T286" i="4" a="1"/>
  <c r="T286" i="4"/>
  <c r="AC177" i="5"/>
  <c r="AD177" i="5"/>
  <c r="X286" i="4"/>
  <c r="AI177" i="5"/>
  <c r="Y286" i="4"/>
  <c r="AJ177" i="5"/>
  <c r="Z286" i="4"/>
  <c r="AL177" i="5"/>
  <c r="F177" i="5"/>
  <c r="R177" i="5"/>
  <c r="T177" i="5"/>
  <c r="AN177" i="5"/>
  <c r="A86" i="2"/>
  <c r="AA86" i="2"/>
  <c r="AB86" i="2"/>
  <c r="B107" i="4"/>
  <c r="D107" i="4"/>
  <c r="E67" i="5"/>
  <c r="AC86" i="2"/>
  <c r="AD86" i="2"/>
  <c r="AE86" i="2"/>
  <c r="H107" i="4"/>
  <c r="K67" i="5"/>
  <c r="AF86" i="2"/>
  <c r="AG86" i="2"/>
  <c r="AH86" i="2"/>
  <c r="AI86" i="2"/>
  <c r="AJ86" i="2"/>
  <c r="AK86" i="2"/>
  <c r="M107" i="4"/>
  <c r="R67" i="5"/>
  <c r="L107" i="4"/>
  <c r="Q67" i="5"/>
  <c r="AL86" i="2"/>
  <c r="AM86" i="2"/>
  <c r="T268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268" i="1"/>
  <c r="D268" i="1"/>
  <c r="F268" i="1"/>
  <c r="H268" i="1"/>
  <c r="J268" i="1"/>
  <c r="L268" i="1"/>
  <c r="N268" i="1"/>
  <c r="P268" i="1"/>
  <c r="R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85" i="2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A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AR490" i="1"/>
  <c r="AT490" i="1"/>
  <c r="AV490" i="1"/>
  <c r="AX490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AR491" i="1"/>
  <c r="AT491" i="1"/>
  <c r="AV491" i="1"/>
  <c r="AX491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AR492" i="1"/>
  <c r="AT492" i="1"/>
  <c r="AV492" i="1"/>
  <c r="AX492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AR493" i="1"/>
  <c r="AT493" i="1"/>
  <c r="AV493" i="1"/>
  <c r="AX493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AR494" i="1"/>
  <c r="AT494" i="1"/>
  <c r="AV494" i="1"/>
  <c r="AX494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AR495" i="1"/>
  <c r="AT495" i="1"/>
  <c r="AV495" i="1"/>
  <c r="AX495" i="1"/>
  <c r="A496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AR496" i="1"/>
  <c r="AT496" i="1"/>
  <c r="AV496" i="1"/>
  <c r="AX496" i="1"/>
  <c r="A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AR497" i="1"/>
  <c r="AT497" i="1"/>
  <c r="AV497" i="1"/>
  <c r="AX497" i="1"/>
  <c r="A498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AR498" i="1"/>
  <c r="AT498" i="1"/>
  <c r="AV498" i="1"/>
  <c r="AX498" i="1"/>
  <c r="A499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AR499" i="1"/>
  <c r="AT499" i="1"/>
  <c r="AV499" i="1"/>
  <c r="AX499" i="1"/>
  <c r="A500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AR500" i="1"/>
  <c r="AT500" i="1"/>
  <c r="AV500" i="1"/>
  <c r="AX500" i="1"/>
  <c r="A501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AR501" i="1"/>
  <c r="AT501" i="1"/>
  <c r="AV501" i="1"/>
  <c r="AX501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AR502" i="1"/>
  <c r="AT502" i="1"/>
  <c r="AV502" i="1"/>
  <c r="AX502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AR503" i="1"/>
  <c r="AT503" i="1"/>
  <c r="AV503" i="1"/>
  <c r="AX503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AR504" i="1"/>
  <c r="AT504" i="1"/>
  <c r="AV504" i="1"/>
  <c r="AX504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AR505" i="1"/>
  <c r="AT505" i="1"/>
  <c r="AV505" i="1"/>
  <c r="AX505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AR506" i="1"/>
  <c r="AT506" i="1"/>
  <c r="AV506" i="1"/>
  <c r="AX506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AR507" i="1"/>
  <c r="AT507" i="1"/>
  <c r="AV507" i="1"/>
  <c r="AX507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AR508" i="1"/>
  <c r="AT508" i="1"/>
  <c r="AV508" i="1"/>
  <c r="AX508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AR509" i="1"/>
  <c r="AT509" i="1"/>
  <c r="AV509" i="1"/>
  <c r="AX509" i="1"/>
  <c r="A510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AR510" i="1"/>
  <c r="AT510" i="1"/>
  <c r="AV510" i="1"/>
  <c r="AX510" i="1"/>
  <c r="A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AR511" i="1"/>
  <c r="AT511" i="1"/>
  <c r="AV511" i="1"/>
  <c r="AX511" i="1"/>
  <c r="A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AR512" i="1"/>
  <c r="AT512" i="1"/>
  <c r="AV512" i="1"/>
  <c r="AX512" i="1"/>
  <c r="A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AR513" i="1"/>
  <c r="AT513" i="1"/>
  <c r="AV513" i="1"/>
  <c r="AX513" i="1"/>
  <c r="A514" i="1"/>
  <c r="D514" i="1"/>
  <c r="F514" i="1"/>
  <c r="H514" i="1"/>
  <c r="J514" i="1"/>
  <c r="L514" i="1"/>
  <c r="N514" i="1"/>
  <c r="P514" i="1"/>
  <c r="R514" i="1"/>
  <c r="T514" i="1"/>
  <c r="V514" i="1"/>
  <c r="X514" i="1"/>
  <c r="Z514" i="1"/>
  <c r="AB514" i="1"/>
  <c r="AD514" i="1"/>
  <c r="AF514" i="1"/>
  <c r="AH514" i="1"/>
  <c r="AJ514" i="1"/>
  <c r="AL514" i="1"/>
  <c r="AN514" i="1"/>
  <c r="AP514" i="1"/>
  <c r="AR514" i="1"/>
  <c r="AT514" i="1"/>
  <c r="AV514" i="1"/>
  <c r="AX514" i="1"/>
  <c r="A515" i="1"/>
  <c r="D515" i="1"/>
  <c r="F515" i="1"/>
  <c r="H515" i="1"/>
  <c r="J515" i="1"/>
  <c r="L515" i="1"/>
  <c r="N515" i="1"/>
  <c r="P515" i="1"/>
  <c r="R515" i="1"/>
  <c r="T515" i="1"/>
  <c r="V515" i="1"/>
  <c r="X515" i="1"/>
  <c r="Z515" i="1"/>
  <c r="AB515" i="1"/>
  <c r="AD515" i="1"/>
  <c r="AF515" i="1"/>
  <c r="AH515" i="1"/>
  <c r="AJ515" i="1"/>
  <c r="AL515" i="1"/>
  <c r="AN515" i="1"/>
  <c r="AP515" i="1"/>
  <c r="AR515" i="1"/>
  <c r="AT515" i="1"/>
  <c r="AV515" i="1"/>
  <c r="AX515" i="1"/>
  <c r="A516" i="1"/>
  <c r="D516" i="1"/>
  <c r="F516" i="1"/>
  <c r="H516" i="1"/>
  <c r="J516" i="1"/>
  <c r="L516" i="1"/>
  <c r="N516" i="1"/>
  <c r="P516" i="1"/>
  <c r="R516" i="1"/>
  <c r="T516" i="1"/>
  <c r="V516" i="1"/>
  <c r="X516" i="1"/>
  <c r="Z516" i="1"/>
  <c r="AB516" i="1"/>
  <c r="AD516" i="1"/>
  <c r="AF516" i="1"/>
  <c r="AH516" i="1"/>
  <c r="AJ516" i="1"/>
  <c r="AL516" i="1"/>
  <c r="AN516" i="1"/>
  <c r="AP516" i="1"/>
  <c r="AR516" i="1"/>
  <c r="AT516" i="1"/>
  <c r="AV516" i="1"/>
  <c r="AX516" i="1"/>
  <c r="A517" i="1"/>
  <c r="D517" i="1"/>
  <c r="F517" i="1"/>
  <c r="H517" i="1"/>
  <c r="J517" i="1"/>
  <c r="L517" i="1"/>
  <c r="N517" i="1"/>
  <c r="P517" i="1"/>
  <c r="R517" i="1"/>
  <c r="T517" i="1"/>
  <c r="V517" i="1"/>
  <c r="X517" i="1"/>
  <c r="Z517" i="1"/>
  <c r="AB517" i="1"/>
  <c r="AD517" i="1"/>
  <c r="AF517" i="1"/>
  <c r="AH517" i="1"/>
  <c r="AJ517" i="1"/>
  <c r="AL517" i="1"/>
  <c r="AN517" i="1"/>
  <c r="AP517" i="1"/>
  <c r="AR517" i="1"/>
  <c r="AT517" i="1"/>
  <c r="AV517" i="1"/>
  <c r="AX517" i="1"/>
  <c r="AA85" i="2"/>
  <c r="AB85" i="2"/>
  <c r="B106" i="4"/>
  <c r="D106" i="4"/>
  <c r="E66" i="5"/>
  <c r="AC85" i="2"/>
  <c r="AD85" i="2"/>
  <c r="AE85" i="2"/>
  <c r="H106" i="4"/>
  <c r="K66" i="5"/>
  <c r="AF85" i="2"/>
  <c r="AG85" i="2"/>
  <c r="AH85" i="2"/>
  <c r="AI85" i="2"/>
  <c r="AJ85" i="2"/>
  <c r="AK85" i="2"/>
  <c r="M106" i="4"/>
  <c r="R66" i="5"/>
  <c r="L106" i="4"/>
  <c r="Q66" i="5"/>
  <c r="AL85" i="2"/>
  <c r="AM85" i="2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84" i="2"/>
  <c r="AA84" i="2"/>
  <c r="AB84" i="2"/>
  <c r="B105" i="4"/>
  <c r="D105" i="4"/>
  <c r="E65" i="5"/>
  <c r="AC84" i="2"/>
  <c r="AD84" i="2"/>
  <c r="AE84" i="2"/>
  <c r="H105" i="4"/>
  <c r="K65" i="5"/>
  <c r="AF84" i="2"/>
  <c r="AG84" i="2"/>
  <c r="AH84" i="2"/>
  <c r="AI84" i="2"/>
  <c r="AJ84" i="2"/>
  <c r="AK84" i="2"/>
  <c r="M105" i="4"/>
  <c r="R65" i="5"/>
  <c r="L105" i="4"/>
  <c r="Q65" i="5"/>
  <c r="AL84" i="2"/>
  <c r="AM84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83" i="2"/>
  <c r="AA83" i="2"/>
  <c r="AB83" i="2"/>
  <c r="B164" i="4"/>
  <c r="D164" i="4"/>
  <c r="E148" i="5"/>
  <c r="AC83" i="2"/>
  <c r="AD83" i="2"/>
  <c r="AE83" i="2"/>
  <c r="I164" i="4"/>
  <c r="L148" i="5"/>
  <c r="K148" i="5"/>
  <c r="AF83" i="2"/>
  <c r="AG83" i="2"/>
  <c r="AH83" i="2"/>
  <c r="AI83" i="2"/>
  <c r="AJ83" i="2"/>
  <c r="O148" i="5"/>
  <c r="J164" i="4"/>
  <c r="N148" i="5"/>
  <c r="AK83" i="2"/>
  <c r="M164" i="4"/>
  <c r="R148" i="5"/>
  <c r="L164" i="4"/>
  <c r="Q148" i="5"/>
  <c r="AL83" i="2"/>
  <c r="AM83" i="2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Z450" i="1"/>
  <c r="BA450" i="1"/>
  <c r="BB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BC450" i="1"/>
  <c r="CT450" i="1"/>
  <c r="AZ449" i="1"/>
  <c r="BA449" i="1"/>
  <c r="BB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BC449" i="1"/>
  <c r="CT449" i="1"/>
  <c r="AZ432" i="1"/>
  <c r="BA432" i="1"/>
  <c r="BB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BC432" i="1"/>
  <c r="CT432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BC431" i="1"/>
  <c r="CT431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BC461" i="1"/>
  <c r="CT461" i="1"/>
  <c r="A82" i="2"/>
  <c r="AA82" i="2"/>
  <c r="AB82" i="2"/>
  <c r="B131" i="4"/>
  <c r="E131" i="4"/>
  <c r="F108" i="5"/>
  <c r="D131" i="4"/>
  <c r="E108" i="5"/>
  <c r="F148" i="5"/>
  <c r="AC82" i="2"/>
  <c r="I108" i="5"/>
  <c r="F131" i="4"/>
  <c r="H108" i="5"/>
  <c r="H148" i="5"/>
  <c r="I148" i="5"/>
  <c r="AD82" i="2"/>
  <c r="AE82" i="2"/>
  <c r="H131" i="4"/>
  <c r="K108" i="5"/>
  <c r="AF82" i="2"/>
  <c r="AG82" i="2"/>
  <c r="AH82" i="2"/>
  <c r="AI82" i="2"/>
  <c r="AJ82" i="2"/>
  <c r="AK82" i="2"/>
  <c r="M131" i="4"/>
  <c r="R108" i="5"/>
  <c r="L131" i="4"/>
  <c r="Q108" i="5"/>
  <c r="AL82" i="2"/>
  <c r="AM82" i="2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I131" i="4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W131" i="4"/>
  <c r="B136" i="4"/>
  <c r="W136" i="4"/>
  <c r="A9" i="3"/>
  <c r="B9" i="3"/>
  <c r="C9" i="3"/>
  <c r="AI28" i="4"/>
  <c r="H6" i="3"/>
  <c r="H7" i="3"/>
  <c r="H8" i="3"/>
  <c r="H9" i="3"/>
  <c r="H10" i="3"/>
  <c r="H11" i="3"/>
  <c r="H12" i="3"/>
  <c r="H13" i="3"/>
  <c r="H14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5" i="3"/>
  <c r="H38" i="3"/>
  <c r="H39" i="3"/>
  <c r="U28" i="4" a="1"/>
  <c r="U28" i="4"/>
  <c r="AD262" i="5"/>
  <c r="T28" i="4" a="1"/>
  <c r="T28" i="4"/>
  <c r="AC262" i="5"/>
  <c r="AD108" i="5"/>
  <c r="AC108" i="5"/>
  <c r="E9" i="3"/>
  <c r="A81" i="2"/>
  <c r="AA81" i="2"/>
  <c r="AB81" i="2"/>
  <c r="B304" i="4"/>
  <c r="D304" i="4"/>
  <c r="E307" i="5"/>
  <c r="AC81" i="2"/>
  <c r="AD81" i="2"/>
  <c r="AE81" i="2"/>
  <c r="I304" i="4"/>
  <c r="L307" i="5"/>
  <c r="K307" i="5"/>
  <c r="AF81" i="2"/>
  <c r="AG81" i="2"/>
  <c r="AH81" i="2"/>
  <c r="AI81" i="2"/>
  <c r="AJ81" i="2"/>
  <c r="O307" i="5"/>
  <c r="J304" i="4"/>
  <c r="N307" i="5"/>
  <c r="AK81" i="2"/>
  <c r="M304" i="4"/>
  <c r="R307" i="5"/>
  <c r="L304" i="4"/>
  <c r="Q307" i="5"/>
  <c r="AL81" i="2"/>
  <c r="AM81" i="2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D295" i="6"/>
  <c r="B154" i="4"/>
  <c r="D154" i="4"/>
  <c r="E4" i="5"/>
  <c r="C304" i="4"/>
  <c r="C307" i="5"/>
  <c r="B60" i="4"/>
  <c r="C60" i="4"/>
  <c r="C394" i="7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B306" i="4"/>
  <c r="T306" i="4"/>
  <c r="U306" i="4"/>
  <c r="AI306" i="4"/>
  <c r="B317" i="4"/>
  <c r="U317" i="4"/>
  <c r="A9" i="13"/>
  <c r="B9" i="13"/>
  <c r="C9" i="13"/>
  <c r="U304" i="4"/>
  <c r="AD307" i="5"/>
  <c r="T304" i="4"/>
  <c r="AC307" i="5"/>
  <c r="E9" i="13"/>
  <c r="F9" i="13"/>
  <c r="G9" i="13"/>
  <c r="H9" i="13"/>
  <c r="A80" i="2"/>
  <c r="AA80" i="2"/>
  <c r="AB80" i="2"/>
  <c r="B309" i="4"/>
  <c r="D309" i="4"/>
  <c r="E314" i="5"/>
  <c r="AC80" i="2"/>
  <c r="AD80" i="2"/>
  <c r="AE80" i="2"/>
  <c r="I309" i="4"/>
  <c r="L314" i="5"/>
  <c r="K314" i="5"/>
  <c r="AF80" i="2"/>
  <c r="AG80" i="2"/>
  <c r="AH80" i="2"/>
  <c r="AI80" i="2"/>
  <c r="AJ80" i="2"/>
  <c r="O314" i="5"/>
  <c r="J309" i="4"/>
  <c r="N314" i="5"/>
  <c r="AK80" i="2"/>
  <c r="M309" i="4"/>
  <c r="R314" i="5"/>
  <c r="L309" i="4"/>
  <c r="Q314" i="5"/>
  <c r="AL80" i="2"/>
  <c r="AM80" i="2"/>
  <c r="AZ440" i="1"/>
  <c r="BA440" i="1"/>
  <c r="BB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BC440" i="1"/>
  <c r="CT440" i="1"/>
  <c r="AZ441" i="1"/>
  <c r="BA441" i="1"/>
  <c r="BB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BC441" i="1"/>
  <c r="CT441" i="1"/>
  <c r="AZ442" i="1"/>
  <c r="BA442" i="1"/>
  <c r="BB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BC442" i="1"/>
  <c r="CT442" i="1"/>
  <c r="A29" i="3"/>
  <c r="B29" i="3"/>
  <c r="C29" i="3"/>
  <c r="AI17" i="4"/>
  <c r="U17" i="4" a="1"/>
  <c r="U17" i="4"/>
  <c r="AD51" i="5"/>
  <c r="T17" i="4" a="1"/>
  <c r="T17" i="4"/>
  <c r="AC51" i="5"/>
  <c r="AI45" i="4"/>
  <c r="AD91" i="5"/>
  <c r="T45" i="4" a="1"/>
  <c r="T45" i="4"/>
  <c r="AC91" i="5"/>
  <c r="E29" i="3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79" i="2"/>
  <c r="AA79" i="2"/>
  <c r="AB79" i="2"/>
  <c r="B101" i="4"/>
  <c r="D101" i="4"/>
  <c r="E60" i="5"/>
  <c r="AC79" i="2"/>
  <c r="AD79" i="2"/>
  <c r="AE79" i="2"/>
  <c r="H101" i="4"/>
  <c r="K60" i="5"/>
  <c r="AF79" i="2"/>
  <c r="AG79" i="2"/>
  <c r="AH79" i="2"/>
  <c r="AI79" i="2"/>
  <c r="AJ79" i="2"/>
  <c r="AK79" i="2"/>
  <c r="M101" i="4"/>
  <c r="R60" i="5"/>
  <c r="L101" i="4"/>
  <c r="Q60" i="5"/>
  <c r="AL79" i="2"/>
  <c r="AM79" i="2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B211" i="4"/>
  <c r="X211" i="4"/>
  <c r="B200" i="4"/>
  <c r="X200" i="4"/>
  <c r="B210" i="4"/>
  <c r="I210" i="4"/>
  <c r="I211" i="4"/>
  <c r="I200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200" i="4"/>
  <c r="D200" i="4"/>
  <c r="E200" i="4"/>
  <c r="F200" i="4"/>
  <c r="J200" i="4"/>
  <c r="K200" i="4"/>
  <c r="L200" i="4"/>
  <c r="M200" i="4"/>
  <c r="N200" i="4"/>
  <c r="O200" i="4"/>
  <c r="P200" i="4"/>
  <c r="Q200" i="4"/>
  <c r="R200" i="4"/>
  <c r="AI200" i="4"/>
  <c r="T200" i="4" a="1"/>
  <c r="T200" i="4"/>
  <c r="U200" i="4" a="1"/>
  <c r="U200" i="4"/>
  <c r="Y200" i="4"/>
  <c r="Z200" i="4"/>
  <c r="AA200" i="4"/>
  <c r="AB200" i="4"/>
  <c r="AC200" i="4"/>
  <c r="AD200" i="4"/>
  <c r="AE200" i="4"/>
  <c r="AF200" i="4"/>
  <c r="AG200" i="4"/>
  <c r="AH200" i="4"/>
  <c r="AJ200" i="4"/>
  <c r="AK200" i="4"/>
  <c r="AL200" i="4"/>
  <c r="B303" i="5"/>
  <c r="C211" i="4"/>
  <c r="C303" i="5"/>
  <c r="D211" i="4"/>
  <c r="E303" i="5"/>
  <c r="F303" i="5"/>
  <c r="H303" i="5"/>
  <c r="I303" i="5"/>
  <c r="K303" i="5"/>
  <c r="L303" i="5"/>
  <c r="J211" i="4"/>
  <c r="N303" i="5"/>
  <c r="K211" i="4"/>
  <c r="O303" i="5"/>
  <c r="L211" i="4"/>
  <c r="Q303" i="5"/>
  <c r="M211" i="4"/>
  <c r="R303" i="5"/>
  <c r="N211" i="4"/>
  <c r="T303" i="5"/>
  <c r="O211" i="4"/>
  <c r="U303" i="5"/>
  <c r="P211" i="4"/>
  <c r="W303" i="5"/>
  <c r="Q211" i="4"/>
  <c r="X303" i="5"/>
  <c r="Z303" i="5"/>
  <c r="AA303" i="5"/>
  <c r="AI211" i="4"/>
  <c r="T211" i="4" a="1"/>
  <c r="T211" i="4"/>
  <c r="AC303" i="5"/>
  <c r="U211" i="4" a="1"/>
  <c r="U211" i="4"/>
  <c r="AD303" i="5"/>
  <c r="AF303" i="5"/>
  <c r="AG303" i="5"/>
  <c r="AI303" i="5"/>
  <c r="Y211" i="4"/>
  <c r="AJ303" i="5"/>
  <c r="Z211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211" i="4"/>
  <c r="F211" i="4"/>
  <c r="R211" i="4"/>
  <c r="AA211" i="4"/>
  <c r="AB211" i="4"/>
  <c r="AC211" i="4"/>
  <c r="AD211" i="4"/>
  <c r="AE211" i="4"/>
  <c r="AF211" i="4"/>
  <c r="AG211" i="4"/>
  <c r="AH211" i="4"/>
  <c r="AJ211" i="4"/>
  <c r="AK211" i="4"/>
  <c r="AL211" i="4"/>
  <c r="L210" i="4"/>
  <c r="B36" i="4"/>
  <c r="L36" i="4"/>
  <c r="B302" i="5"/>
  <c r="C210" i="4"/>
  <c r="C302" i="5"/>
  <c r="D210" i="4"/>
  <c r="E302" i="5"/>
  <c r="F302" i="5"/>
  <c r="H302" i="5"/>
  <c r="I302" i="5"/>
  <c r="K302" i="5"/>
  <c r="L302" i="5"/>
  <c r="J210" i="4"/>
  <c r="N302" i="5"/>
  <c r="K210" i="4"/>
  <c r="O302" i="5"/>
  <c r="Q302" i="5"/>
  <c r="M210" i="4"/>
  <c r="R302" i="5"/>
  <c r="N210" i="4"/>
  <c r="T302" i="5"/>
  <c r="O210" i="4"/>
  <c r="U302" i="5"/>
  <c r="W302" i="5"/>
  <c r="Q210" i="4"/>
  <c r="X302" i="5"/>
  <c r="Z302" i="5"/>
  <c r="AA302" i="5"/>
  <c r="AI210" i="4"/>
  <c r="T210" i="4" a="1"/>
  <c r="T210" i="4"/>
  <c r="AC302" i="5"/>
  <c r="U210" i="4" a="1"/>
  <c r="U210" i="4"/>
  <c r="AD302" i="5"/>
  <c r="AF302" i="5"/>
  <c r="AG302" i="5"/>
  <c r="X210" i="4"/>
  <c r="AI302" i="5"/>
  <c r="Y210" i="4"/>
  <c r="AJ302" i="5"/>
  <c r="Z210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AN301" i="5"/>
  <c r="E210" i="4"/>
  <c r="F210" i="4"/>
  <c r="R210" i="4"/>
  <c r="AA210" i="4"/>
  <c r="AB210" i="4"/>
  <c r="AC210" i="4"/>
  <c r="AD210" i="4"/>
  <c r="AE210" i="4"/>
  <c r="AF210" i="4"/>
  <c r="AG210" i="4"/>
  <c r="AH210" i="4"/>
  <c r="AJ210" i="4"/>
  <c r="AK210" i="4"/>
  <c r="AL210" i="4"/>
  <c r="B301" i="5"/>
  <c r="B38" i="4"/>
  <c r="C38" i="4"/>
  <c r="D38" i="4"/>
  <c r="F301" i="5"/>
  <c r="I38" i="4"/>
  <c r="J38" i="4"/>
  <c r="L38" i="4"/>
  <c r="M38" i="4"/>
  <c r="N38" i="4"/>
  <c r="O38" i="4"/>
  <c r="P38" i="4"/>
  <c r="Q38" i="4"/>
  <c r="S38" i="4"/>
  <c r="AI38" i="4"/>
  <c r="T38" i="4" a="1"/>
  <c r="T38" i="4"/>
  <c r="X38" i="4"/>
  <c r="Y38" i="4"/>
  <c r="Z38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78" i="2"/>
  <c r="AA78" i="2"/>
  <c r="AB78" i="2"/>
  <c r="B123" i="4"/>
  <c r="E123" i="4"/>
  <c r="F88" i="5"/>
  <c r="D123" i="4"/>
  <c r="E88" i="5"/>
  <c r="AC78" i="2"/>
  <c r="I88" i="5"/>
  <c r="F123" i="4"/>
  <c r="H88" i="5"/>
  <c r="AD78" i="2"/>
  <c r="AE78" i="2"/>
  <c r="H123" i="4"/>
  <c r="K88" i="5"/>
  <c r="L60" i="5"/>
  <c r="AF78" i="2"/>
  <c r="AG78" i="2"/>
  <c r="AH78" i="2"/>
  <c r="AI78" i="2"/>
  <c r="AJ78" i="2"/>
  <c r="N60" i="5"/>
  <c r="O60" i="5"/>
  <c r="AK78" i="2"/>
  <c r="M123" i="4"/>
  <c r="R88" i="5"/>
  <c r="L123" i="4"/>
  <c r="Q88" i="5"/>
  <c r="AL78" i="2"/>
  <c r="AM78" i="2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V123" i="4"/>
  <c r="B45" i="4"/>
  <c r="V45" i="4"/>
  <c r="A77" i="2"/>
  <c r="AA77" i="2"/>
  <c r="AB77" i="2"/>
  <c r="B122" i="4"/>
  <c r="E122" i="4"/>
  <c r="F87" i="5"/>
  <c r="D122" i="4"/>
  <c r="E87" i="5"/>
  <c r="AC77" i="2"/>
  <c r="I87" i="5"/>
  <c r="F122" i="4"/>
  <c r="H87" i="5"/>
  <c r="AD77" i="2"/>
  <c r="AE77" i="2"/>
  <c r="H122" i="4"/>
  <c r="K87" i="5"/>
  <c r="AF77" i="2"/>
  <c r="AG77" i="2"/>
  <c r="AH77" i="2"/>
  <c r="AI77" i="2"/>
  <c r="AJ77" i="2"/>
  <c r="AK77" i="2"/>
  <c r="M122" i="4"/>
  <c r="R87" i="5"/>
  <c r="L122" i="4"/>
  <c r="Q87" i="5"/>
  <c r="AL77" i="2"/>
  <c r="AM77" i="2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BC460" i="1"/>
  <c r="CT460" i="1"/>
  <c r="AZ459" i="1"/>
  <c r="BA459" i="1"/>
  <c r="BB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BC459" i="1"/>
  <c r="CT459" i="1"/>
  <c r="S304" i="4"/>
  <c r="B305" i="4"/>
  <c r="S305" i="4"/>
  <c r="B312" i="4"/>
  <c r="S312" i="4"/>
  <c r="S310" i="4"/>
  <c r="S309" i="4"/>
  <c r="S317" i="4"/>
  <c r="B316" i="4"/>
  <c r="S316" i="4"/>
  <c r="S306" i="4"/>
  <c r="B307" i="4"/>
  <c r="S307" i="4"/>
  <c r="B319" i="4"/>
  <c r="S319" i="4"/>
  <c r="B318" i="4"/>
  <c r="S318" i="4"/>
  <c r="B311" i="4"/>
  <c r="S311" i="4"/>
  <c r="B314" i="4"/>
  <c r="S314" i="4"/>
  <c r="B315" i="4"/>
  <c r="S315" i="4"/>
  <c r="B313" i="4"/>
  <c r="S313" i="4"/>
  <c r="B308" i="4"/>
  <c r="S308" i="4"/>
  <c r="B118" i="4"/>
  <c r="S118" i="4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BC458" i="1"/>
  <c r="CT458" i="1"/>
  <c r="B159" i="4"/>
  <c r="D159" i="4"/>
  <c r="B7" i="4"/>
  <c r="E7" i="4"/>
  <c r="F7" i="4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A76" i="2"/>
  <c r="AB76" i="2"/>
  <c r="B86" i="4"/>
  <c r="E86" i="4"/>
  <c r="F241" i="5"/>
  <c r="D86" i="4"/>
  <c r="E241" i="5"/>
  <c r="AC76" i="2"/>
  <c r="I241" i="5"/>
  <c r="F86" i="4"/>
  <c r="H241" i="5"/>
  <c r="AD76" i="2"/>
  <c r="AE76" i="2"/>
  <c r="H86" i="4"/>
  <c r="K241" i="5"/>
  <c r="AF76" i="2"/>
  <c r="AG76" i="2"/>
  <c r="AH76" i="2"/>
  <c r="AI76" i="2"/>
  <c r="AJ76" i="2"/>
  <c r="AK76" i="2"/>
  <c r="M86" i="4"/>
  <c r="R241" i="5"/>
  <c r="L86" i="4"/>
  <c r="Q241" i="5"/>
  <c r="AL76" i="2"/>
  <c r="AM76" i="2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85" i="4"/>
  <c r="C85" i="4"/>
  <c r="C86" i="4"/>
  <c r="C241" i="5"/>
  <c r="D85" i="4"/>
  <c r="E85" i="4"/>
  <c r="F85" i="4"/>
  <c r="L241" i="5"/>
  <c r="N241" i="5"/>
  <c r="O241" i="5"/>
  <c r="L85" i="4"/>
  <c r="M85" i="4"/>
  <c r="N86" i="4"/>
  <c r="T241" i="5"/>
  <c r="O85" i="4"/>
  <c r="O86" i="4"/>
  <c r="U241" i="5"/>
  <c r="P85" i="4"/>
  <c r="P86" i="4"/>
  <c r="W241" i="5"/>
  <c r="Q85" i="4"/>
  <c r="Q86" i="4"/>
  <c r="X241" i="5"/>
  <c r="Z241" i="5"/>
  <c r="S85" i="4"/>
  <c r="S86" i="4"/>
  <c r="AA241" i="5"/>
  <c r="AI85" i="4"/>
  <c r="T85" i="4" a="1"/>
  <c r="T85" i="4"/>
  <c r="AI86" i="4"/>
  <c r="T86" i="4" a="1"/>
  <c r="T86" i="4"/>
  <c r="AC241" i="5"/>
  <c r="U85" i="4" a="1"/>
  <c r="U85" i="4"/>
  <c r="U86" i="4" a="1"/>
  <c r="U86" i="4"/>
  <c r="AD241" i="5"/>
  <c r="AF241" i="5"/>
  <c r="AG241" i="5"/>
  <c r="X85" i="4"/>
  <c r="X86" i="4"/>
  <c r="AI241" i="5"/>
  <c r="Y85" i="4"/>
  <c r="Y86" i="4"/>
  <c r="AJ241" i="5"/>
  <c r="Z85" i="4"/>
  <c r="Z86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86" i="4"/>
  <c r="J86" i="4"/>
  <c r="R86" i="4"/>
  <c r="AA86" i="4"/>
  <c r="AB86" i="4"/>
  <c r="AC86" i="4"/>
  <c r="AD86" i="4"/>
  <c r="AE86" i="4"/>
  <c r="AF86" i="4"/>
  <c r="AG86" i="4"/>
  <c r="AH86" i="4"/>
  <c r="AJ86" i="4"/>
  <c r="AK86" i="4"/>
  <c r="AL86" i="4"/>
  <c r="AA75" i="2"/>
  <c r="AB75" i="2"/>
  <c r="B384" i="4"/>
  <c r="D384" i="4"/>
  <c r="E386" i="5"/>
  <c r="AC75" i="2"/>
  <c r="AD75" i="2"/>
  <c r="AE75" i="2"/>
  <c r="I384" i="4"/>
  <c r="L386" i="5"/>
  <c r="H384" i="4"/>
  <c r="K386" i="5"/>
  <c r="AF75" i="2"/>
  <c r="AG75" i="2"/>
  <c r="AH75" i="2"/>
  <c r="AI75" i="2"/>
  <c r="AJ75" i="2"/>
  <c r="K384" i="4"/>
  <c r="O386" i="5"/>
  <c r="J384" i="4"/>
  <c r="N386" i="5"/>
  <c r="AK75" i="2"/>
  <c r="M384" i="4"/>
  <c r="R386" i="5"/>
  <c r="L384" i="4"/>
  <c r="Q386" i="5"/>
  <c r="AL75" i="2"/>
  <c r="AM75" i="2"/>
  <c r="D336" i="9"/>
  <c r="E336" i="9"/>
  <c r="F336" i="9"/>
  <c r="G336" i="9"/>
  <c r="H336" i="9"/>
  <c r="C415" i="7"/>
  <c r="D415" i="7"/>
  <c r="E415" i="7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3" i="4"/>
  <c r="C383" i="4"/>
  <c r="C384" i="4"/>
  <c r="C386" i="5"/>
  <c r="D383" i="4"/>
  <c r="F386" i="5"/>
  <c r="H386" i="5"/>
  <c r="I386" i="5"/>
  <c r="H383" i="4"/>
  <c r="I383" i="4"/>
  <c r="J383" i="4"/>
  <c r="K383" i="4"/>
  <c r="L383" i="4"/>
  <c r="M383" i="4"/>
  <c r="N383" i="4"/>
  <c r="N384" i="4"/>
  <c r="T386" i="5"/>
  <c r="O383" i="4"/>
  <c r="O384" i="4"/>
  <c r="U386" i="5"/>
  <c r="P383" i="4"/>
  <c r="P384" i="4"/>
  <c r="W386" i="5"/>
  <c r="Q383" i="4"/>
  <c r="Q384" i="4"/>
  <c r="X386" i="5"/>
  <c r="Z386" i="5"/>
  <c r="S383" i="4"/>
  <c r="S384" i="4"/>
  <c r="AA386" i="5"/>
  <c r="T383" i="4"/>
  <c r="T384" i="4"/>
  <c r="AC386" i="5"/>
  <c r="U383" i="4"/>
  <c r="U384" i="4"/>
  <c r="AD386" i="5"/>
  <c r="V383" i="4"/>
  <c r="V384" i="4"/>
  <c r="AF386" i="5"/>
  <c r="W383" i="4"/>
  <c r="W384" i="4"/>
  <c r="AG386" i="5"/>
  <c r="X383" i="4"/>
  <c r="X384" i="4"/>
  <c r="AI386" i="5"/>
  <c r="Y383" i="4"/>
  <c r="Y384" i="4"/>
  <c r="AJ386" i="5"/>
  <c r="Z383" i="4"/>
  <c r="Z384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4" i="4"/>
  <c r="F384" i="4"/>
  <c r="R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A74" i="2"/>
  <c r="AB74" i="2"/>
  <c r="D26" i="4"/>
  <c r="E261" i="5"/>
  <c r="AC74" i="2"/>
  <c r="AD74" i="2"/>
  <c r="AE74" i="2"/>
  <c r="K261" i="5"/>
  <c r="AF74" i="2"/>
  <c r="AG74" i="2"/>
  <c r="AH74" i="2"/>
  <c r="AI74" i="2"/>
  <c r="AJ74" i="2"/>
  <c r="AK74" i="2"/>
  <c r="M26" i="4"/>
  <c r="R261" i="5"/>
  <c r="L26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513" i="1"/>
  <c r="BA513" i="1"/>
  <c r="BB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BC513" i="1"/>
  <c r="CT513" i="1"/>
  <c r="AZ514" i="1"/>
  <c r="BA514" i="1"/>
  <c r="BB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BC514" i="1"/>
  <c r="CT514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A73" i="2"/>
  <c r="AB73" i="2"/>
  <c r="B270" i="4"/>
  <c r="D270" i="4"/>
  <c r="E197" i="5"/>
  <c r="AC73" i="2"/>
  <c r="I197" i="5"/>
  <c r="AD73" i="2"/>
  <c r="AE73" i="2"/>
  <c r="H270" i="4"/>
  <c r="K197" i="5"/>
  <c r="AF73" i="2"/>
  <c r="AG73" i="2"/>
  <c r="AH73" i="2"/>
  <c r="AI73" i="2"/>
  <c r="AJ73" i="2"/>
  <c r="AK73" i="2"/>
  <c r="M270" i="4"/>
  <c r="R197" i="5"/>
  <c r="L270" i="4"/>
  <c r="Q197" i="5"/>
  <c r="AL73" i="2"/>
  <c r="AM73" i="2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I198" i="5"/>
  <c r="I199" i="5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A72" i="2"/>
  <c r="AB72" i="2"/>
  <c r="B186" i="4"/>
  <c r="D186" i="4"/>
  <c r="E192" i="5"/>
  <c r="AC72" i="2"/>
  <c r="AD72" i="2"/>
  <c r="AE72" i="2"/>
  <c r="H186" i="4"/>
  <c r="K192" i="5"/>
  <c r="AF72" i="2"/>
  <c r="AG72" i="2"/>
  <c r="AH72" i="2"/>
  <c r="AI72" i="2"/>
  <c r="AJ72" i="2"/>
  <c r="AK72" i="2"/>
  <c r="M186" i="4"/>
  <c r="R192" i="5"/>
  <c r="L186" i="4"/>
  <c r="Q192" i="5"/>
  <c r="AL72" i="2"/>
  <c r="AM72" i="2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T290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512" i="1"/>
  <c r="BA512" i="1"/>
  <c r="BB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BC512" i="1"/>
  <c r="CT512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475" i="1"/>
  <c r="BA475" i="1"/>
  <c r="BB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BC475" i="1"/>
  <c r="CT475" i="1"/>
  <c r="AZ474" i="1"/>
  <c r="BA474" i="1"/>
  <c r="BB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BC474" i="1"/>
  <c r="CT474" i="1"/>
  <c r="AZ473" i="1"/>
  <c r="BA473" i="1"/>
  <c r="BB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BC473" i="1"/>
  <c r="CT473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A71" i="2"/>
  <c r="AB71" i="2"/>
  <c r="B185" i="4"/>
  <c r="D185" i="4"/>
  <c r="E191" i="5"/>
  <c r="AC71" i="2"/>
  <c r="AD71" i="2"/>
  <c r="AE71" i="2"/>
  <c r="H185" i="4"/>
  <c r="K191" i="5"/>
  <c r="AF71" i="2"/>
  <c r="AG71" i="2"/>
  <c r="AH71" i="2"/>
  <c r="AI71" i="2"/>
  <c r="AJ71" i="2"/>
  <c r="AK71" i="2"/>
  <c r="M185" i="4"/>
  <c r="R191" i="5"/>
  <c r="L185" i="4"/>
  <c r="Q191" i="5"/>
  <c r="AL71" i="2"/>
  <c r="AM71" i="2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BC271" i="1"/>
  <c r="AZ271" i="1"/>
  <c r="BA271" i="1"/>
  <c r="BB271" i="1"/>
  <c r="S185" i="4"/>
  <c r="AA70" i="2"/>
  <c r="AB70" i="2"/>
  <c r="B248" i="4"/>
  <c r="D248" i="4"/>
  <c r="E43" i="5"/>
  <c r="AC70" i="2"/>
  <c r="AD70" i="2"/>
  <c r="AE70" i="2"/>
  <c r="H248" i="4"/>
  <c r="K43" i="5"/>
  <c r="AF70" i="2"/>
  <c r="AG70" i="2"/>
  <c r="AH70" i="2"/>
  <c r="AI70" i="2"/>
  <c r="AJ70" i="2"/>
  <c r="AK70" i="2"/>
  <c r="M248" i="4"/>
  <c r="R43" i="5"/>
  <c r="L248" i="4"/>
  <c r="Q43" i="5"/>
  <c r="AL70" i="2"/>
  <c r="AM70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T270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A69" i="2"/>
  <c r="AB69" i="2"/>
  <c r="D4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45" i="4"/>
  <c r="Q91" i="5"/>
  <c r="AL69" i="2"/>
  <c r="AM69" i="2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W45" i="4"/>
  <c r="AA68" i="2"/>
  <c r="AB68" i="2"/>
  <c r="B380" i="4"/>
  <c r="D380" i="4"/>
  <c r="E379" i="5"/>
  <c r="AC68" i="2"/>
  <c r="AD68" i="2"/>
  <c r="AE68" i="2"/>
  <c r="I380" i="4"/>
  <c r="L379" i="5"/>
  <c r="H380" i="4"/>
  <c r="K379" i="5"/>
  <c r="AF68" i="2"/>
  <c r="AG68" i="2"/>
  <c r="AH68" i="2"/>
  <c r="AI68" i="2"/>
  <c r="AJ68" i="2"/>
  <c r="K380" i="4"/>
  <c r="O379" i="5"/>
  <c r="J380" i="4"/>
  <c r="N379" i="5"/>
  <c r="AK68" i="2"/>
  <c r="M380" i="4"/>
  <c r="R379" i="5"/>
  <c r="L380" i="4"/>
  <c r="Q379" i="5"/>
  <c r="R91" i="5"/>
  <c r="AL68" i="2"/>
  <c r="AM68" i="2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V380" i="4"/>
  <c r="AA67" i="2"/>
  <c r="AB67" i="2"/>
  <c r="B283" i="4"/>
  <c r="E283" i="4"/>
  <c r="F242" i="5"/>
  <c r="D283" i="4"/>
  <c r="E242" i="5"/>
  <c r="AC67" i="2"/>
  <c r="I242" i="5"/>
  <c r="F283" i="4"/>
  <c r="H242" i="5"/>
  <c r="AD67" i="2"/>
  <c r="AE67" i="2"/>
  <c r="K242" i="5"/>
  <c r="AF67" i="2"/>
  <c r="AG67" i="2"/>
  <c r="AH67" i="2"/>
  <c r="AI67" i="2"/>
  <c r="AJ67" i="2"/>
  <c r="AK67" i="2"/>
  <c r="M283" i="4"/>
  <c r="R242" i="5"/>
  <c r="L283" i="4"/>
  <c r="Q242" i="5"/>
  <c r="AL67" i="2"/>
  <c r="AM67" i="2"/>
  <c r="AZ500" i="1"/>
  <c r="BA500" i="1"/>
  <c r="BB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BC500" i="1"/>
  <c r="CT500" i="1"/>
  <c r="AZ501" i="1"/>
  <c r="BA501" i="1"/>
  <c r="BB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BC501" i="1"/>
  <c r="CT501" i="1"/>
  <c r="AZ499" i="1"/>
  <c r="BA499" i="1"/>
  <c r="BB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BC499" i="1"/>
  <c r="CT499" i="1"/>
  <c r="AZ498" i="1"/>
  <c r="BA498" i="1"/>
  <c r="BB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BC498" i="1"/>
  <c r="CT498" i="1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B212" i="4"/>
  <c r="N212" i="4"/>
  <c r="B213" i="4"/>
  <c r="N213" i="4"/>
  <c r="N227" i="5"/>
  <c r="L227" i="5"/>
  <c r="B227" i="4"/>
  <c r="J227" i="4"/>
  <c r="B18" i="4"/>
  <c r="W18" i="4"/>
  <c r="B134" i="4"/>
  <c r="W134" i="4"/>
  <c r="B135" i="4"/>
  <c r="W135" i="4"/>
  <c r="B301" i="4"/>
  <c r="W301" i="4"/>
  <c r="B13" i="4"/>
  <c r="W13" i="4"/>
  <c r="B14" i="4"/>
  <c r="W14" i="4"/>
  <c r="B183" i="4"/>
  <c r="W183" i="4"/>
  <c r="B10" i="4"/>
  <c r="W10" i="4"/>
  <c r="B11" i="4"/>
  <c r="W11" i="4"/>
  <c r="B63" i="4"/>
  <c r="W63" i="4"/>
  <c r="B64" i="4"/>
  <c r="W64" i="4"/>
  <c r="B194" i="4"/>
  <c r="W194" i="4"/>
  <c r="B68" i="4"/>
  <c r="W68" i="4"/>
  <c r="B221" i="4"/>
  <c r="W221" i="4"/>
  <c r="B78" i="4"/>
  <c r="W78" i="4"/>
  <c r="B81" i="4"/>
  <c r="W81" i="4"/>
  <c r="B82" i="4"/>
  <c r="W82" i="4"/>
  <c r="B84" i="4"/>
  <c r="W84" i="4"/>
  <c r="B67" i="4"/>
  <c r="W67" i="4"/>
  <c r="B69" i="4"/>
  <c r="W69" i="4"/>
  <c r="B70" i="4"/>
  <c r="W70" i="4"/>
  <c r="B121" i="4"/>
  <c r="W121" i="4"/>
  <c r="B35" i="4"/>
  <c r="W35" i="4"/>
  <c r="B133" i="4"/>
  <c r="W133" i="4"/>
  <c r="B48" i="4"/>
  <c r="W48" i="4"/>
  <c r="B137" i="4"/>
  <c r="W137" i="4"/>
  <c r="B256" i="4"/>
  <c r="W256" i="4"/>
  <c r="B257" i="4"/>
  <c r="W257" i="4"/>
  <c r="B266" i="4"/>
  <c r="W266" i="4"/>
  <c r="B160" i="4"/>
  <c r="W160" i="4"/>
  <c r="B163" i="4"/>
  <c r="W163" i="4"/>
  <c r="B165" i="4"/>
  <c r="W165" i="4"/>
  <c r="B184" i="4"/>
  <c r="W184" i="4"/>
  <c r="W185" i="4"/>
  <c r="W186" i="4"/>
  <c r="B187" i="4"/>
  <c r="W187" i="4"/>
  <c r="B189" i="4"/>
  <c r="W189" i="4"/>
  <c r="B190" i="4"/>
  <c r="W190" i="4"/>
  <c r="B196" i="4"/>
  <c r="W196" i="4"/>
  <c r="B197" i="4"/>
  <c r="W197" i="4"/>
  <c r="B198" i="4"/>
  <c r="W198" i="4"/>
  <c r="B228" i="4"/>
  <c r="W228" i="4"/>
  <c r="B229" i="4"/>
  <c r="W229" i="4"/>
  <c r="B265" i="4"/>
  <c r="W265" i="4"/>
  <c r="B87" i="4"/>
  <c r="W87" i="4"/>
  <c r="B245" i="4"/>
  <c r="W245" i="4"/>
  <c r="B246" i="4"/>
  <c r="W246" i="4"/>
  <c r="B195" i="4"/>
  <c r="W195" i="4"/>
  <c r="B65" i="4"/>
  <c r="W65" i="4"/>
  <c r="B66" i="4"/>
  <c r="W66" i="4"/>
  <c r="W227" i="4"/>
  <c r="B231" i="4"/>
  <c r="W231" i="4"/>
  <c r="B188" i="4"/>
  <c r="W188" i="4"/>
  <c r="S188" i="4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AA66" i="2"/>
  <c r="AB66" i="2"/>
  <c r="E231" i="4"/>
  <c r="F227" i="5"/>
  <c r="D231" i="4"/>
  <c r="E227" i="5"/>
  <c r="AC66" i="2"/>
  <c r="I227" i="5"/>
  <c r="F231" i="4"/>
  <c r="H227" i="5"/>
  <c r="AD66" i="2"/>
  <c r="AE66" i="2"/>
  <c r="I231" i="4"/>
  <c r="H231" i="4"/>
  <c r="K227" i="5"/>
  <c r="L242" i="5"/>
  <c r="AF66" i="2"/>
  <c r="AG66" i="2"/>
  <c r="AH66" i="2"/>
  <c r="AI66" i="2"/>
  <c r="AJ66" i="2"/>
  <c r="O227" i="5"/>
  <c r="J231" i="4"/>
  <c r="AK66" i="2"/>
  <c r="M231" i="4"/>
  <c r="R227" i="5"/>
  <c r="L231" i="4"/>
  <c r="Q227" i="5"/>
  <c r="AL66" i="2"/>
  <c r="AM66" i="2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A64" i="2"/>
  <c r="AB64" i="2"/>
  <c r="B281" i="4"/>
  <c r="E281" i="4"/>
  <c r="F226" i="5"/>
  <c r="D281" i="4"/>
  <c r="E226" i="5"/>
  <c r="AC64" i="2"/>
  <c r="I226" i="5"/>
  <c r="F281" i="4"/>
  <c r="H226" i="5"/>
  <c r="AD64" i="2"/>
  <c r="AE64" i="2"/>
  <c r="H281" i="4"/>
  <c r="K226" i="5"/>
  <c r="L226" i="5"/>
  <c r="AF64" i="2"/>
  <c r="AG64" i="2"/>
  <c r="AH64" i="2"/>
  <c r="AI64" i="2"/>
  <c r="AJ64" i="2"/>
  <c r="N226" i="5"/>
  <c r="O226" i="5"/>
  <c r="AK64" i="2"/>
  <c r="M281" i="4"/>
  <c r="R226" i="5"/>
  <c r="L281" i="4"/>
  <c r="Q226" i="5"/>
  <c r="AL64" i="2"/>
  <c r="AM64" i="2"/>
  <c r="AG172" i="5"/>
  <c r="AF172" i="5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I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D78" i="5"/>
  <c r="AI119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T119" i="4" a="1"/>
  <c r="T119" i="4"/>
  <c r="AC78" i="5"/>
  <c r="AI25" i="4"/>
  <c r="U25" i="4" a="1"/>
  <c r="U25" i="4"/>
  <c r="AD85" i="5"/>
  <c r="T25" i="4" a="1"/>
  <c r="T25" i="4"/>
  <c r="AC85" i="5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AZ403" i="1"/>
  <c r="BA403" i="1"/>
  <c r="BB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BC403" i="1"/>
  <c r="CT403" i="1"/>
  <c r="AA65" i="2"/>
  <c r="AB65" i="2"/>
  <c r="D188" i="4"/>
  <c r="E282" i="5"/>
  <c r="AC65" i="2"/>
  <c r="AD65" i="2"/>
  <c r="AE65" i="2"/>
  <c r="H188" i="4"/>
  <c r="K282" i="5"/>
  <c r="AF65" i="2"/>
  <c r="AG65" i="2"/>
  <c r="AH65" i="2"/>
  <c r="AI65" i="2"/>
  <c r="AJ65" i="2"/>
  <c r="AK65" i="2"/>
  <c r="M188" i="4"/>
  <c r="R282" i="5"/>
  <c r="L188" i="4"/>
  <c r="Q282" i="5"/>
  <c r="AL65" i="2"/>
  <c r="AM65" i="2"/>
  <c r="AZ402" i="1"/>
  <c r="BA402" i="1"/>
  <c r="BB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BC402" i="1"/>
  <c r="CT402" i="1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A63" i="2"/>
  <c r="AB63" i="2"/>
  <c r="D319" i="4"/>
  <c r="E315" i="5"/>
  <c r="AC63" i="2"/>
  <c r="AD63" i="2"/>
  <c r="AE63" i="2"/>
  <c r="I319" i="4"/>
  <c r="L315" i="5"/>
  <c r="K315" i="5"/>
  <c r="AF63" i="2"/>
  <c r="AG63" i="2"/>
  <c r="AH63" i="2"/>
  <c r="AI63" i="2"/>
  <c r="AJ63" i="2"/>
  <c r="O315" i="5"/>
  <c r="J319" i="4"/>
  <c r="N315" i="5"/>
  <c r="AK63" i="2"/>
  <c r="M319" i="4"/>
  <c r="R315" i="5"/>
  <c r="L319" i="4"/>
  <c r="Q315" i="5"/>
  <c r="AL63" i="2"/>
  <c r="AM63" i="2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A62" i="2"/>
  <c r="AB62" i="2"/>
  <c r="B230" i="4"/>
  <c r="E230" i="4"/>
  <c r="F223" i="5"/>
  <c r="D230" i="4"/>
  <c r="E223" i="5"/>
  <c r="AC62" i="2"/>
  <c r="I223" i="5"/>
  <c r="F230" i="4"/>
  <c r="H223" i="5"/>
  <c r="AD62" i="2"/>
  <c r="AE62" i="2"/>
  <c r="H230" i="4"/>
  <c r="K223" i="5"/>
  <c r="AF62" i="2"/>
  <c r="AG62" i="2"/>
  <c r="AH62" i="2"/>
  <c r="AI62" i="2"/>
  <c r="AJ62" i="2"/>
  <c r="AK62" i="2"/>
  <c r="M230" i="4"/>
  <c r="R223" i="5"/>
  <c r="L230" i="4"/>
  <c r="Q223" i="5"/>
  <c r="AL62" i="2"/>
  <c r="AM62" i="2"/>
  <c r="AZ472" i="1"/>
  <c r="BA472" i="1"/>
  <c r="BB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BC472" i="1"/>
  <c r="CT472" i="1"/>
  <c r="AZ471" i="1"/>
  <c r="BA471" i="1"/>
  <c r="BB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BC471" i="1"/>
  <c r="CT471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BC401" i="1"/>
  <c r="CT401" i="1"/>
  <c r="X230" i="4"/>
  <c r="AA61" i="2"/>
  <c r="AB61" i="2"/>
  <c r="D307" i="4"/>
  <c r="E305" i="5"/>
  <c r="AC61" i="2"/>
  <c r="AD61" i="2"/>
  <c r="AE61" i="2"/>
  <c r="I307" i="4"/>
  <c r="L305" i="5"/>
  <c r="K305" i="5"/>
  <c r="L223" i="5"/>
  <c r="AF61" i="2"/>
  <c r="AG61" i="2"/>
  <c r="AH61" i="2"/>
  <c r="AI61" i="2"/>
  <c r="AJ61" i="2"/>
  <c r="O305" i="5"/>
  <c r="J307" i="4"/>
  <c r="N305" i="5"/>
  <c r="N223" i="5"/>
  <c r="O223" i="5"/>
  <c r="AK61" i="2"/>
  <c r="M307" i="4"/>
  <c r="R305" i="5"/>
  <c r="L307" i="4"/>
  <c r="Q305" i="5"/>
  <c r="AL61" i="2"/>
  <c r="AM61" i="2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A60" i="2"/>
  <c r="AB60" i="2"/>
  <c r="E300" i="5"/>
  <c r="AC60" i="2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L99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7" i="4"/>
  <c r="AC313" i="5"/>
  <c r="E7" i="13"/>
  <c r="C7" i="13"/>
  <c r="B7" i="13"/>
  <c r="A6" i="13"/>
  <c r="H6" i="13"/>
  <c r="G6" i="13"/>
  <c r="F6" i="13"/>
  <c r="U315" i="4"/>
  <c r="AD311" i="5"/>
  <c r="T315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39" i="4"/>
  <c r="C39" i="4"/>
  <c r="C300" i="5"/>
  <c r="D39" i="4"/>
  <c r="H300" i="5"/>
  <c r="I300" i="5"/>
  <c r="I39" i="4"/>
  <c r="J39" i="4"/>
  <c r="L39" i="4"/>
  <c r="M39" i="4"/>
  <c r="N39" i="4"/>
  <c r="T300" i="5"/>
  <c r="O39" i="4"/>
  <c r="U300" i="5"/>
  <c r="P39" i="4"/>
  <c r="W300" i="5"/>
  <c r="Q39" i="4"/>
  <c r="X300" i="5"/>
  <c r="Z300" i="5"/>
  <c r="S39" i="4"/>
  <c r="AA300" i="5"/>
  <c r="AI39" i="4"/>
  <c r="T39" i="4" a="1"/>
  <c r="T39" i="4"/>
  <c r="AC300" i="5"/>
  <c r="AD300" i="5"/>
  <c r="AF300" i="5"/>
  <c r="AG300" i="5"/>
  <c r="X39" i="4"/>
  <c r="AI300" i="5"/>
  <c r="Y39" i="4"/>
  <c r="AJ300" i="5"/>
  <c r="Z39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38" i="4"/>
  <c r="F38" i="4"/>
  <c r="R38" i="4"/>
  <c r="AA38" i="4"/>
  <c r="AB38" i="4"/>
  <c r="AC38" i="4"/>
  <c r="AD38" i="4"/>
  <c r="AE38" i="4"/>
  <c r="AF38" i="4"/>
  <c r="AG38" i="4"/>
  <c r="AH38" i="4"/>
  <c r="AJ38" i="4"/>
  <c r="AK38" i="4"/>
  <c r="AL38" i="4"/>
  <c r="AA59" i="2"/>
  <c r="AB59" i="2"/>
  <c r="B233" i="4"/>
  <c r="E233" i="4"/>
  <c r="F231" i="5"/>
  <c r="D233" i="4"/>
  <c r="E231" i="5"/>
  <c r="AC59" i="2"/>
  <c r="I231" i="5"/>
  <c r="F233" i="4"/>
  <c r="H231" i="5"/>
  <c r="AD59" i="2"/>
  <c r="AE59" i="2"/>
  <c r="H233" i="4"/>
  <c r="K231" i="5"/>
  <c r="AF59" i="2"/>
  <c r="AG59" i="2"/>
  <c r="AH59" i="2"/>
  <c r="AI59" i="2"/>
  <c r="AJ59" i="2"/>
  <c r="AK59" i="2"/>
  <c r="M233" i="4"/>
  <c r="R231" i="5"/>
  <c r="L233" i="4"/>
  <c r="Q231" i="5"/>
  <c r="AL59" i="2"/>
  <c r="AM59" i="2"/>
  <c r="D414" i="9"/>
  <c r="E414" i="9"/>
  <c r="F414" i="9"/>
  <c r="G414" i="9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C124" i="7"/>
  <c r="D124" i="7"/>
  <c r="E124" i="7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33" i="4"/>
  <c r="AB127" i="4"/>
  <c r="AB128" i="4"/>
  <c r="AB129" i="4"/>
  <c r="AB130" i="4"/>
  <c r="AB131" i="4"/>
  <c r="AB132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1" i="4"/>
  <c r="AB202" i="4"/>
  <c r="AB203" i="4"/>
  <c r="AB204" i="4"/>
  <c r="AB205" i="4"/>
  <c r="AB206" i="4"/>
  <c r="AB207" i="4"/>
  <c r="AB208" i="4"/>
  <c r="AB209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20" i="4"/>
  <c r="AB333" i="4"/>
  <c r="AB334" i="4"/>
  <c r="AB335" i="4"/>
  <c r="AB336" i="4"/>
  <c r="AB337" i="4"/>
  <c r="AB338" i="4"/>
  <c r="AB340" i="4"/>
  <c r="AB341" i="4"/>
  <c r="AB342" i="4"/>
  <c r="AB343" i="4"/>
  <c r="AB344" i="4"/>
  <c r="AB339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3" i="4"/>
  <c r="AB382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2" i="4"/>
  <c r="AA58" i="2"/>
  <c r="AB58" i="2"/>
  <c r="D195" i="4"/>
  <c r="E289" i="5"/>
  <c r="AC58" i="2"/>
  <c r="AD58" i="2"/>
  <c r="AE58" i="2"/>
  <c r="H195" i="4"/>
  <c r="K289" i="5"/>
  <c r="L231" i="5"/>
  <c r="AF58" i="2"/>
  <c r="AG58" i="2"/>
  <c r="AH58" i="2"/>
  <c r="AI58" i="2"/>
  <c r="AJ58" i="2"/>
  <c r="N231" i="5"/>
  <c r="O231" i="5"/>
  <c r="AK58" i="2"/>
  <c r="M195" i="4"/>
  <c r="R289" i="5"/>
  <c r="L195" i="4"/>
  <c r="Q289" i="5"/>
  <c r="AL58" i="2"/>
  <c r="AM58" i="2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7" i="1"/>
  <c r="BA27" i="1"/>
  <c r="BB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C27" i="1"/>
  <c r="CT27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517" i="1"/>
  <c r="BA517" i="1"/>
  <c r="BB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BC517" i="1"/>
  <c r="CT517" i="1"/>
  <c r="H387" i="5"/>
  <c r="B382" i="4"/>
  <c r="H382" i="4"/>
  <c r="K387" i="5"/>
  <c r="B387" i="5"/>
  <c r="C382" i="4"/>
  <c r="C387" i="5"/>
  <c r="D382" i="4"/>
  <c r="E387" i="5"/>
  <c r="F387" i="5"/>
  <c r="I387" i="5"/>
  <c r="I382" i="4"/>
  <c r="L387" i="5"/>
  <c r="J382" i="4"/>
  <c r="N387" i="5"/>
  <c r="K382" i="4"/>
  <c r="O387" i="5"/>
  <c r="L382" i="4"/>
  <c r="Q387" i="5"/>
  <c r="M382" i="4"/>
  <c r="R387" i="5"/>
  <c r="N382" i="4"/>
  <c r="T387" i="5"/>
  <c r="O382" i="4"/>
  <c r="U387" i="5"/>
  <c r="P382" i="4"/>
  <c r="W387" i="5"/>
  <c r="Q382" i="4"/>
  <c r="X387" i="5"/>
  <c r="Z387" i="5"/>
  <c r="S382" i="4"/>
  <c r="AA387" i="5"/>
  <c r="T382" i="4"/>
  <c r="AC387" i="5"/>
  <c r="U382" i="4"/>
  <c r="AD387" i="5"/>
  <c r="V382" i="4"/>
  <c r="AF387" i="5"/>
  <c r="W382" i="4"/>
  <c r="AG387" i="5"/>
  <c r="X382" i="4"/>
  <c r="AI387" i="5"/>
  <c r="Y382" i="4"/>
  <c r="AJ387" i="5"/>
  <c r="Z382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2" i="4"/>
  <c r="F382" i="4"/>
  <c r="R382" i="4"/>
  <c r="AA382" i="4"/>
  <c r="AC382" i="4"/>
  <c r="AD382" i="4"/>
  <c r="AE382" i="4"/>
  <c r="AF382" i="4"/>
  <c r="AG382" i="4"/>
  <c r="AH382" i="4"/>
  <c r="AI382" i="4"/>
  <c r="AJ382" i="4"/>
  <c r="AK382" i="4"/>
  <c r="AL382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516" i="1"/>
  <c r="BA516" i="1"/>
  <c r="BB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BC516" i="1"/>
  <c r="CT516" i="1"/>
  <c r="AZ515" i="1"/>
  <c r="BA515" i="1"/>
  <c r="BB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BC515" i="1"/>
  <c r="CT515" i="1"/>
  <c r="D44" i="7"/>
  <c r="E44" i="7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A57" i="2"/>
  <c r="AB57" i="2"/>
  <c r="B119" i="4"/>
  <c r="E119" i="4"/>
  <c r="F78" i="5"/>
  <c r="D119" i="4"/>
  <c r="E78" i="5"/>
  <c r="F289" i="5"/>
  <c r="AC57" i="2"/>
  <c r="I78" i="5"/>
  <c r="F119" i="4"/>
  <c r="H78" i="5"/>
  <c r="H289" i="5"/>
  <c r="I289" i="5"/>
  <c r="AD57" i="2"/>
  <c r="AE57" i="2"/>
  <c r="H119" i="4"/>
  <c r="K78" i="5"/>
  <c r="L289" i="5"/>
  <c r="AF57" i="2"/>
  <c r="AG57" i="2"/>
  <c r="AH57" i="2"/>
  <c r="AI57" i="2"/>
  <c r="AJ57" i="2"/>
  <c r="N289" i="5"/>
  <c r="O289" i="5"/>
  <c r="AK57" i="2"/>
  <c r="M119" i="4"/>
  <c r="R78" i="5"/>
  <c r="L119" i="4"/>
  <c r="Q78" i="5"/>
  <c r="AL57" i="2"/>
  <c r="AM57" i="2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B73" i="4"/>
  <c r="X73" i="4"/>
  <c r="AK276" i="4"/>
  <c r="AK178" i="4"/>
  <c r="AK5" i="4"/>
  <c r="AK6" i="4"/>
  <c r="AK8" i="4"/>
  <c r="AK129" i="4"/>
  <c r="AK162" i="4"/>
  <c r="AK128" i="4"/>
  <c r="AK280" i="4"/>
  <c r="AK168" i="4"/>
  <c r="AK3" i="4"/>
  <c r="AK261" i="4"/>
  <c r="AK181" i="4"/>
  <c r="AK182" i="4"/>
  <c r="AK127" i="4"/>
  <c r="AK80" i="4"/>
  <c r="AK83" i="4"/>
  <c r="AK19" i="4"/>
  <c r="AK302" i="4"/>
  <c r="AK153" i="4"/>
  <c r="AK164" i="4"/>
  <c r="AK277" i="4"/>
  <c r="AK94" i="4"/>
  <c r="AK285" i="4"/>
  <c r="AK303" i="4"/>
  <c r="AK105" i="4"/>
  <c r="AK298" i="4"/>
  <c r="AK299" i="4"/>
  <c r="AK167" i="4"/>
  <c r="AK54" i="4"/>
  <c r="AK238" i="4"/>
  <c r="AK240" i="4"/>
  <c r="AK287" i="4"/>
  <c r="AK267" i="4"/>
  <c r="AK239" i="4"/>
  <c r="AK237" i="4"/>
  <c r="AK241" i="4"/>
  <c r="AK242" i="4"/>
  <c r="AK243" i="4"/>
  <c r="AK93" i="4"/>
  <c r="AK156" i="4"/>
  <c r="AK166" i="4"/>
  <c r="AK110" i="4"/>
  <c r="AK109" i="4"/>
  <c r="AK251" i="4"/>
  <c r="AK108" i="4"/>
  <c r="AK91" i="4"/>
  <c r="AK96" i="4"/>
  <c r="AK125" i="4"/>
  <c r="AK97" i="4"/>
  <c r="AK100" i="4"/>
  <c r="AK174" i="4"/>
  <c r="AK101" i="4"/>
  <c r="AK98" i="4"/>
  <c r="AK99" i="4"/>
  <c r="AK158" i="4"/>
  <c r="AK294" i="4"/>
  <c r="AK295" i="4"/>
  <c r="AK296" i="4"/>
  <c r="AK293" i="4"/>
  <c r="AK297" i="4"/>
  <c r="AK300" i="4"/>
  <c r="AK51" i="4"/>
  <c r="AK205" i="4"/>
  <c r="AK206" i="4"/>
  <c r="AK207" i="4"/>
  <c r="AK208" i="4"/>
  <c r="AK209" i="4"/>
  <c r="AK175" i="4"/>
  <c r="AK152" i="4"/>
  <c r="AK55" i="4"/>
  <c r="AK56" i="4"/>
  <c r="AK202" i="4"/>
  <c r="AK204" i="4"/>
  <c r="AK16" i="4"/>
  <c r="AK45" i="4"/>
  <c r="AK141" i="4"/>
  <c r="AK275" i="4"/>
  <c r="AK203" i="4"/>
  <c r="AK264" i="4"/>
  <c r="AK258" i="4"/>
  <c r="AK260" i="4"/>
  <c r="AK247" i="4"/>
  <c r="AK44" i="4"/>
  <c r="AK216" i="4"/>
  <c r="AK244" i="4"/>
  <c r="AK269" i="4"/>
  <c r="AK145" i="4"/>
  <c r="AK102" i="4"/>
  <c r="AK111" i="4"/>
  <c r="AK103" i="4"/>
  <c r="AK72" i="4"/>
  <c r="AK104" i="4"/>
  <c r="AK154" i="4"/>
  <c r="AK278" i="4"/>
  <c r="AK92" i="4"/>
  <c r="AK253" i="4"/>
  <c r="AK176" i="4"/>
  <c r="AK254" i="4"/>
  <c r="AK62" i="4"/>
  <c r="AK76" i="4"/>
  <c r="AK282" i="4"/>
  <c r="AK179" i="4"/>
  <c r="AK77" i="4"/>
  <c r="AK180" i="4"/>
  <c r="AK75" i="4"/>
  <c r="AK17" i="4"/>
  <c r="AK79" i="4"/>
  <c r="AK90" i="4"/>
  <c r="AK89" i="4"/>
  <c r="AK259" i="4"/>
  <c r="AK53" i="4"/>
  <c r="AK88" i="4"/>
  <c r="AK107" i="4"/>
  <c r="AK106" i="4"/>
  <c r="AK140" i="4"/>
  <c r="AK9" i="4"/>
  <c r="AK183" i="4"/>
  <c r="AK10" i="4"/>
  <c r="AK11" i="4"/>
  <c r="AK124" i="4"/>
  <c r="AK221" i="4"/>
  <c r="AK14" i="4"/>
  <c r="AK134" i="4"/>
  <c r="AK84" i="4"/>
  <c r="AK143" i="4"/>
  <c r="AK63" i="4"/>
  <c r="AK64" i="4"/>
  <c r="AK67" i="4"/>
  <c r="AK68" i="4"/>
  <c r="AK69" i="4"/>
  <c r="AK70" i="4"/>
  <c r="AK78" i="4"/>
  <c r="AK81" i="4"/>
  <c r="AK135" i="4"/>
  <c r="AK136" i="4"/>
  <c r="AK82" i="4"/>
  <c r="AK18" i="4"/>
  <c r="AK301" i="4"/>
  <c r="AK139" i="4"/>
  <c r="AK13" i="4"/>
  <c r="AK194" i="4"/>
  <c r="AK249" i="4"/>
  <c r="AK288" i="4"/>
  <c r="AK228" i="4"/>
  <c r="AK229" i="4"/>
  <c r="AK35" i="4"/>
  <c r="AK286" i="4"/>
  <c r="AK290" i="4"/>
  <c r="AK257" i="4"/>
  <c r="AK291" i="4"/>
  <c r="AK256" i="4"/>
  <c r="AK289" i="4"/>
  <c r="AK227" i="4"/>
  <c r="AK87" i="4"/>
  <c r="AK65" i="4"/>
  <c r="AK66" i="4"/>
  <c r="AK187" i="4"/>
  <c r="AK196" i="4"/>
  <c r="AK133" i="4"/>
  <c r="AK160" i="4"/>
  <c r="AK184" i="4"/>
  <c r="AK185" i="4"/>
  <c r="AK186" i="4"/>
  <c r="AK197" i="4"/>
  <c r="AK188" i="4"/>
  <c r="AK190" i="4"/>
  <c r="AK195" i="4"/>
  <c r="AK189" i="4"/>
  <c r="AK265" i="4"/>
  <c r="AK266" i="4"/>
  <c r="AK163" i="4"/>
  <c r="AK165" i="4"/>
  <c r="AK48" i="4"/>
  <c r="AK245" i="4"/>
  <c r="AK246" i="4"/>
  <c r="AK231" i="4"/>
  <c r="AK252" i="4"/>
  <c r="AK248" i="4"/>
  <c r="AK250" i="4"/>
  <c r="AK121" i="4"/>
  <c r="AK137" i="4"/>
  <c r="AK198" i="4"/>
  <c r="AK120" i="4"/>
  <c r="AK119" i="4"/>
  <c r="AK149" i="4"/>
  <c r="AK230" i="4"/>
  <c r="AK118" i="4"/>
  <c r="AK49" i="4"/>
  <c r="AK201" i="4"/>
  <c r="AK226" i="4"/>
  <c r="AK171" i="4"/>
  <c r="AK144" i="4"/>
  <c r="AK123" i="4"/>
  <c r="AK273" i="4"/>
  <c r="AK274" i="4"/>
  <c r="AK170" i="4"/>
  <c r="AK191" i="4"/>
  <c r="AK292" i="4"/>
  <c r="AK7" i="4"/>
  <c r="AK263" i="4"/>
  <c r="AK117" i="4"/>
  <c r="AK192" i="4"/>
  <c r="AK193" i="4"/>
  <c r="AK234" i="4"/>
  <c r="AK262" i="4"/>
  <c r="AK46" i="4"/>
  <c r="AK130" i="4"/>
  <c r="AK52" i="4"/>
  <c r="AK214" i="4"/>
  <c r="AK157" i="4"/>
  <c r="AK279" i="4"/>
  <c r="AK138" i="4"/>
  <c r="AK177" i="4"/>
  <c r="AK213" i="4"/>
  <c r="AK212" i="4"/>
  <c r="AK131" i="4"/>
  <c r="AK132" i="4"/>
  <c r="AK74" i="4"/>
  <c r="AK215" i="4"/>
  <c r="AK219" i="4"/>
  <c r="AK150" i="4"/>
  <c r="AK233" i="4"/>
  <c r="AK114" i="4"/>
  <c r="AK218" i="4"/>
  <c r="AK159" i="4"/>
  <c r="AK268" i="4"/>
  <c r="AK270" i="4"/>
  <c r="AK271" i="4"/>
  <c r="AK272" i="4"/>
  <c r="AK2" i="4"/>
  <c r="AK20" i="4"/>
  <c r="AK41" i="4"/>
  <c r="AK42" i="4"/>
  <c r="AK24" i="4"/>
  <c r="AK43" i="4"/>
  <c r="AK27" i="4"/>
  <c r="AK29" i="4"/>
  <c r="AK147" i="4"/>
  <c r="AK40" i="4"/>
  <c r="AK23" i="4"/>
  <c r="AK25" i="4"/>
  <c r="AK151" i="4"/>
  <c r="AK161" i="4"/>
  <c r="AK122" i="4"/>
  <c r="AK146" i="4"/>
  <c r="AK112" i="4"/>
  <c r="AK113" i="4"/>
  <c r="AK50" i="4"/>
  <c r="AK15" i="4"/>
  <c r="AK57" i="4"/>
  <c r="AK59" i="4"/>
  <c r="AK71" i="4"/>
  <c r="AK116" i="4"/>
  <c r="AK169" i="4"/>
  <c r="AK73" i="4"/>
  <c r="AK220" i="4"/>
  <c r="AK223" i="4"/>
  <c r="AK224" i="4"/>
  <c r="AK225" i="4"/>
  <c r="AK115" i="4"/>
  <c r="AK283" i="4"/>
  <c r="AK95" i="4"/>
  <c r="AK21" i="4"/>
  <c r="AK22" i="4"/>
  <c r="AK26" i="4"/>
  <c r="AK28" i="4"/>
  <c r="AK30" i="4"/>
  <c r="AK31" i="4"/>
  <c r="AK32" i="4"/>
  <c r="AK33" i="4"/>
  <c r="AK39" i="4"/>
  <c r="AK34" i="4"/>
  <c r="AK155" i="4"/>
  <c r="AK236" i="4"/>
  <c r="AK172" i="4"/>
  <c r="AK173" i="4"/>
  <c r="AK58" i="4"/>
  <c r="AK85" i="4"/>
  <c r="AK12" i="4"/>
  <c r="AK126" i="4"/>
  <c r="AK284" i="4"/>
  <c r="AK235" i="4"/>
  <c r="AK47" i="4"/>
  <c r="AK4" i="4"/>
  <c r="AK60" i="4"/>
  <c r="AK61" i="4"/>
  <c r="AK217" i="4"/>
  <c r="AK232" i="4"/>
  <c r="AK148" i="4"/>
  <c r="AK281" i="4"/>
  <c r="AK37" i="4"/>
  <c r="AK142" i="4"/>
  <c r="AK222" i="4"/>
  <c r="AK199" i="4"/>
  <c r="AK310" i="4"/>
  <c r="AK308" i="4"/>
  <c r="AK309" i="4"/>
  <c r="AK311" i="4"/>
  <c r="AK312" i="4"/>
  <c r="AK306" i="4"/>
  <c r="AK307" i="4"/>
  <c r="AK305" i="4"/>
  <c r="AK304" i="4"/>
  <c r="AK318" i="4"/>
  <c r="AK314" i="4"/>
  <c r="AK313" i="4"/>
  <c r="AK315" i="4"/>
  <c r="AK316" i="4"/>
  <c r="AK317" i="4"/>
  <c r="AK319" i="4"/>
  <c r="AK324" i="4"/>
  <c r="AK349" i="4"/>
  <c r="AK342" i="4"/>
  <c r="AK335" i="4"/>
  <c r="AK333" i="4"/>
  <c r="AK334" i="4"/>
  <c r="AK346" i="4"/>
  <c r="AK345" i="4"/>
  <c r="AK343" i="4"/>
  <c r="AK341" i="4"/>
  <c r="AK344" i="4"/>
  <c r="AK323" i="4"/>
  <c r="AK325" i="4"/>
  <c r="AK326" i="4"/>
  <c r="AK327" i="4"/>
  <c r="AK329" i="4"/>
  <c r="AK330" i="4"/>
  <c r="AK331" i="4"/>
  <c r="AK332" i="4"/>
  <c r="AK339" i="4"/>
  <c r="AK320" i="4"/>
  <c r="AK350" i="4"/>
  <c r="AK348" i="4"/>
  <c r="AK347" i="4"/>
  <c r="AK351" i="4"/>
  <c r="AK321" i="4"/>
  <c r="AK322" i="4"/>
  <c r="AK340" i="4"/>
  <c r="AK352" i="4"/>
  <c r="AK338" i="4"/>
  <c r="AK336" i="4"/>
  <c r="AK337" i="4"/>
  <c r="AK328" i="4"/>
  <c r="AK360" i="4"/>
  <c r="AK364" i="4"/>
  <c r="AK359" i="4"/>
  <c r="AK353" i="4"/>
  <c r="AK369" i="4"/>
  <c r="AK370" i="4"/>
  <c r="AK371" i="4"/>
  <c r="AK372" i="4"/>
  <c r="AK361" i="4"/>
  <c r="AK362" i="4"/>
  <c r="AK373" i="4"/>
  <c r="AK374" i="4"/>
  <c r="AK368" i="4"/>
  <c r="AK354" i="4"/>
  <c r="AK355" i="4"/>
  <c r="AK363" i="4"/>
  <c r="AK365" i="4"/>
  <c r="AK366" i="4"/>
  <c r="AK367" i="4"/>
  <c r="AK357" i="4"/>
  <c r="AK356" i="4"/>
  <c r="AK358" i="4"/>
  <c r="AK380" i="4"/>
  <c r="AK375" i="4"/>
  <c r="AK387" i="4"/>
  <c r="AK379" i="4"/>
  <c r="AK385" i="4"/>
  <c r="AK386" i="4"/>
  <c r="AK381" i="4"/>
  <c r="AK376" i="4"/>
  <c r="AK377" i="4"/>
  <c r="AK378" i="4"/>
  <c r="AK383" i="4"/>
  <c r="AK392" i="4"/>
  <c r="AK388" i="4"/>
  <c r="AK391" i="4"/>
  <c r="AK389" i="4"/>
  <c r="AK390" i="4"/>
  <c r="AK401" i="4"/>
  <c r="AK393" i="4"/>
  <c r="AK407" i="4"/>
  <c r="AK406" i="4"/>
  <c r="AK408" i="4"/>
  <c r="AK409" i="4"/>
  <c r="AK410" i="4"/>
  <c r="AK412" i="4"/>
  <c r="AK394" i="4"/>
  <c r="AK405" i="4"/>
  <c r="AK396" i="4"/>
  <c r="AK397" i="4"/>
  <c r="AK398" i="4"/>
  <c r="AK399" i="4"/>
  <c r="AK417" i="4"/>
  <c r="AK411" i="4"/>
  <c r="AK400" i="4"/>
  <c r="AK402" i="4"/>
  <c r="AK403" i="4"/>
  <c r="AK413" i="4"/>
  <c r="AK404" i="4"/>
  <c r="AK395" i="4"/>
  <c r="AK414" i="4"/>
  <c r="AK415" i="4"/>
  <c r="AK416" i="4"/>
  <c r="AK36" i="4"/>
  <c r="B7" i="3"/>
  <c r="C7" i="3"/>
  <c r="AI33" i="4"/>
  <c r="U33" i="4" a="1"/>
  <c r="U33" i="4"/>
  <c r="AD94" i="5"/>
  <c r="T33" i="4" a="1"/>
  <c r="T33" i="4"/>
  <c r="AC94" i="5"/>
  <c r="E7" i="3"/>
  <c r="AA56" i="2"/>
  <c r="AB56" i="2"/>
  <c r="D74" i="4"/>
  <c r="E20" i="5"/>
  <c r="AC56" i="2"/>
  <c r="AD56" i="2"/>
  <c r="AE56" i="2"/>
  <c r="H74" i="4"/>
  <c r="K20" i="5"/>
  <c r="L78" i="5"/>
  <c r="AF56" i="2"/>
  <c r="AG56" i="2"/>
  <c r="AH56" i="2"/>
  <c r="AI56" i="2"/>
  <c r="AJ56" i="2"/>
  <c r="N78" i="5"/>
  <c r="O78" i="5"/>
  <c r="AK56" i="2"/>
  <c r="M74" i="4"/>
  <c r="R20" i="5"/>
  <c r="L74" i="4"/>
  <c r="Q20" i="5"/>
  <c r="AL56" i="2"/>
  <c r="AM56" i="2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511" i="1"/>
  <c r="BA511" i="1"/>
  <c r="BB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BC511" i="1"/>
  <c r="CT511" i="1"/>
  <c r="AZ510" i="1"/>
  <c r="BA510" i="1"/>
  <c r="BB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BC510" i="1"/>
  <c r="CT510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B354" i="4"/>
  <c r="S354" i="4"/>
  <c r="AZ497" i="1"/>
  <c r="BA497" i="1"/>
  <c r="BB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BC497" i="1"/>
  <c r="CT497" i="1"/>
  <c r="AZ496" i="1"/>
  <c r="BA496" i="1"/>
  <c r="BB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BC496" i="1"/>
  <c r="CT496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BC457" i="1"/>
  <c r="CT457" i="1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B243" i="4"/>
  <c r="H243" i="4"/>
  <c r="B250" i="4"/>
  <c r="S250" i="4"/>
  <c r="B272" i="4"/>
  <c r="N272" i="4"/>
  <c r="N231" i="4"/>
  <c r="B251" i="4"/>
  <c r="N251" i="4"/>
  <c r="AA9" i="2"/>
  <c r="AB9" i="2"/>
  <c r="B249" i="4"/>
  <c r="D249" i="4"/>
  <c r="E44" i="5"/>
  <c r="D250" i="4"/>
  <c r="E45" i="5"/>
  <c r="F45" i="5"/>
  <c r="AC9" i="2"/>
  <c r="H45" i="5"/>
  <c r="I45" i="5"/>
  <c r="AD9" i="2"/>
  <c r="AE9" i="2"/>
  <c r="H249" i="4"/>
  <c r="K44" i="5"/>
  <c r="H250" i="4"/>
  <c r="K45" i="5"/>
  <c r="L45" i="5"/>
  <c r="AF9" i="2"/>
  <c r="AG9" i="2"/>
  <c r="AH9" i="2"/>
  <c r="AI9" i="2"/>
  <c r="AJ9" i="2"/>
  <c r="N45" i="5"/>
  <c r="O45" i="5"/>
  <c r="AK9" i="2"/>
  <c r="M249" i="4"/>
  <c r="R44" i="5"/>
  <c r="L249" i="4"/>
  <c r="Q44" i="5"/>
  <c r="M250" i="4"/>
  <c r="R45" i="5"/>
  <c r="L250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B125" i="4"/>
  <c r="S125" i="4"/>
  <c r="B108" i="4"/>
  <c r="S108" i="4"/>
  <c r="B109" i="4"/>
  <c r="S109" i="4"/>
  <c r="B110" i="4"/>
  <c r="S110" i="4"/>
  <c r="B99" i="4"/>
  <c r="S99" i="4"/>
  <c r="B100" i="4"/>
  <c r="S100" i="4"/>
  <c r="S101" i="4"/>
  <c r="B96" i="4"/>
  <c r="S96" i="4"/>
  <c r="B97" i="4"/>
  <c r="S97" i="4"/>
  <c r="B98" i="4"/>
  <c r="S98" i="4"/>
  <c r="S251" i="4"/>
  <c r="B93" i="4"/>
  <c r="S93" i="4"/>
  <c r="B91" i="4"/>
  <c r="S91" i="4"/>
  <c r="N125" i="4"/>
  <c r="AA4" i="2"/>
  <c r="AB4" i="2"/>
  <c r="B253" i="4"/>
  <c r="D253" i="4"/>
  <c r="E264" i="5"/>
  <c r="D125" i="4"/>
  <c r="E255" i="5"/>
  <c r="F255" i="5"/>
  <c r="AC4" i="2"/>
  <c r="H255" i="5"/>
  <c r="I255" i="5"/>
  <c r="AD4" i="2"/>
  <c r="AE4" i="2"/>
  <c r="H253" i="4"/>
  <c r="K264" i="5"/>
  <c r="H125" i="4"/>
  <c r="K255" i="5"/>
  <c r="L255" i="5"/>
  <c r="AF4" i="2"/>
  <c r="AG4" i="2"/>
  <c r="AH4" i="2"/>
  <c r="AI4" i="2"/>
  <c r="AJ4" i="2"/>
  <c r="N255" i="5"/>
  <c r="O255" i="5"/>
  <c r="AK4" i="2"/>
  <c r="M253" i="4"/>
  <c r="R264" i="5"/>
  <c r="L253" i="4"/>
  <c r="Q264" i="5"/>
  <c r="M125" i="4"/>
  <c r="R255" i="5"/>
  <c r="L125" i="4"/>
  <c r="Q255" i="5"/>
  <c r="AL4" i="2"/>
  <c r="AM4" i="2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BC448" i="1"/>
  <c r="CT448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B116" i="4"/>
  <c r="M116" i="4"/>
  <c r="B41" i="4"/>
  <c r="M41" i="4"/>
  <c r="B115" i="4"/>
  <c r="N115" i="4"/>
  <c r="N41" i="4"/>
  <c r="B23" i="4"/>
  <c r="N23" i="4"/>
  <c r="B42" i="4"/>
  <c r="N42" i="4"/>
  <c r="B24" i="4"/>
  <c r="N24" i="4"/>
  <c r="B25" i="4"/>
  <c r="N25" i="4"/>
  <c r="B113" i="4"/>
  <c r="N113" i="4"/>
  <c r="B214" i="4"/>
  <c r="N214" i="4"/>
  <c r="B114" i="4"/>
  <c r="N114" i="4"/>
  <c r="N131" i="4"/>
  <c r="B132" i="4"/>
  <c r="N132" i="4"/>
  <c r="B150" i="4"/>
  <c r="N150" i="4"/>
  <c r="N159" i="4"/>
  <c r="B268" i="4"/>
  <c r="N268" i="4"/>
  <c r="N270" i="4"/>
  <c r="B271" i="4"/>
  <c r="N271" i="4"/>
  <c r="B215" i="4"/>
  <c r="N215" i="4"/>
  <c r="B218" i="4"/>
  <c r="N218" i="4"/>
  <c r="B219" i="4"/>
  <c r="N219" i="4"/>
  <c r="N233" i="4"/>
  <c r="B20" i="4"/>
  <c r="N20" i="4"/>
  <c r="B112" i="4"/>
  <c r="N112" i="4"/>
  <c r="O219" i="4"/>
  <c r="O74" i="4"/>
  <c r="O20" i="4"/>
  <c r="N74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73" i="4"/>
  <c r="C74" i="4"/>
  <c r="C20" i="5"/>
  <c r="D73" i="4"/>
  <c r="F20" i="5"/>
  <c r="H20" i="5"/>
  <c r="I20" i="5"/>
  <c r="H73" i="4"/>
  <c r="L20" i="5"/>
  <c r="N20" i="5"/>
  <c r="O20" i="5"/>
  <c r="L73" i="4"/>
  <c r="M73" i="4"/>
  <c r="N73" i="4"/>
  <c r="T20" i="5"/>
  <c r="O73" i="4"/>
  <c r="U20" i="5"/>
  <c r="P73" i="4"/>
  <c r="P74" i="4"/>
  <c r="W20" i="5"/>
  <c r="Q73" i="4"/>
  <c r="Q74" i="4"/>
  <c r="X20" i="5"/>
  <c r="R73" i="4"/>
  <c r="R74" i="4"/>
  <c r="Z20" i="5"/>
  <c r="S73" i="4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74" i="4"/>
  <c r="AI20" i="5"/>
  <c r="Y73" i="4"/>
  <c r="Y74" i="4"/>
  <c r="AJ20" i="5"/>
  <c r="Z73" i="4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74" i="4"/>
  <c r="F74" i="4"/>
  <c r="I74" i="4"/>
  <c r="J74" i="4"/>
  <c r="K74" i="4"/>
  <c r="AA74" i="4"/>
  <c r="AC74" i="4"/>
  <c r="AD74" i="4"/>
  <c r="AE74" i="4"/>
  <c r="AF74" i="4"/>
  <c r="AG74" i="4"/>
  <c r="AH74" i="4"/>
  <c r="AJ74" i="4"/>
  <c r="AL7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D349" i="9"/>
  <c r="E349" i="9"/>
  <c r="F349" i="9"/>
  <c r="G349" i="9"/>
  <c r="C125" i="7"/>
  <c r="D125" i="7"/>
  <c r="E125" i="7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B75" i="4"/>
  <c r="X75" i="4"/>
  <c r="N75" i="4"/>
  <c r="B259" i="4"/>
  <c r="X259" i="4"/>
  <c r="B208" i="4"/>
  <c r="N208" i="4"/>
  <c r="B209" i="4"/>
  <c r="N209" i="4"/>
  <c r="B206" i="4"/>
  <c r="N206" i="4"/>
  <c r="B207" i="4"/>
  <c r="N207" i="4"/>
  <c r="B55" i="4"/>
  <c r="O55" i="4"/>
  <c r="B56" i="4"/>
  <c r="O56" i="4"/>
  <c r="B54" i="4"/>
  <c r="O54" i="4"/>
  <c r="N54" i="4"/>
  <c r="B358" i="4"/>
  <c r="Y358" i="4"/>
  <c r="AJ361" i="5"/>
  <c r="Q246" i="4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V253" i="4"/>
  <c r="E254" i="4"/>
  <c r="F254" i="4"/>
  <c r="I254" i="4"/>
  <c r="J254" i="4"/>
  <c r="R254" i="4"/>
  <c r="AA254" i="4"/>
  <c r="AC254" i="4"/>
  <c r="AD254" i="4"/>
  <c r="AE254" i="4"/>
  <c r="AF254" i="4"/>
  <c r="AG254" i="4"/>
  <c r="AH254" i="4"/>
  <c r="AJ254" i="4"/>
  <c r="AL254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56" i="4"/>
  <c r="C19" i="5"/>
  <c r="D56" i="4"/>
  <c r="F19" i="5"/>
  <c r="H19" i="5"/>
  <c r="I19" i="5"/>
  <c r="H56" i="4"/>
  <c r="O19" i="5"/>
  <c r="L56" i="4"/>
  <c r="M56" i="4"/>
  <c r="T19" i="5"/>
  <c r="U19" i="5"/>
  <c r="P56" i="4"/>
  <c r="W19" i="5"/>
  <c r="Q56" i="4"/>
  <c r="X19" i="5"/>
  <c r="R56" i="4"/>
  <c r="Z19" i="5"/>
  <c r="S56" i="4"/>
  <c r="AA19" i="5"/>
  <c r="AI56" i="4"/>
  <c r="T56" i="4" a="1"/>
  <c r="T56" i="4"/>
  <c r="AC19" i="5"/>
  <c r="U56" i="4" a="1"/>
  <c r="U56" i="4"/>
  <c r="AD19" i="5"/>
  <c r="AF19" i="5"/>
  <c r="AG19" i="5"/>
  <c r="X56" i="4"/>
  <c r="AI19" i="5"/>
  <c r="Y56" i="4"/>
  <c r="AJ19" i="5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73" i="4"/>
  <c r="F73" i="4"/>
  <c r="I73" i="4"/>
  <c r="J73" i="4"/>
  <c r="K73" i="4"/>
  <c r="AA73" i="4"/>
  <c r="AC73" i="4"/>
  <c r="AD73" i="4"/>
  <c r="AE73" i="4"/>
  <c r="AF73" i="4"/>
  <c r="AG73" i="4"/>
  <c r="AH73" i="4"/>
  <c r="AJ73" i="4"/>
  <c r="AL73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D348" i="9"/>
  <c r="E348" i="9"/>
  <c r="F348" i="9"/>
  <c r="G348" i="9"/>
  <c r="C123" i="7"/>
  <c r="E123" i="7"/>
  <c r="D123" i="7"/>
  <c r="AG3" i="5"/>
  <c r="AF3" i="5"/>
  <c r="B152" i="4"/>
  <c r="C152" i="4"/>
  <c r="C3" i="5"/>
  <c r="D152" i="4"/>
  <c r="E3" i="5"/>
  <c r="H152" i="4"/>
  <c r="K3" i="5"/>
  <c r="L152" i="4"/>
  <c r="Q3" i="5"/>
  <c r="M152" i="4"/>
  <c r="R3" i="5"/>
  <c r="T3" i="5"/>
  <c r="O152" i="4"/>
  <c r="U3" i="5"/>
  <c r="P152" i="4"/>
  <c r="W3" i="5"/>
  <c r="Q152" i="4"/>
  <c r="X3" i="5"/>
  <c r="S152" i="4"/>
  <c r="AA3" i="5"/>
  <c r="AI152" i="4"/>
  <c r="T152" i="4" a="1"/>
  <c r="T152" i="4"/>
  <c r="AC3" i="5"/>
  <c r="U152" i="4" a="1"/>
  <c r="U152" i="4"/>
  <c r="AD3" i="5"/>
  <c r="X152" i="4"/>
  <c r="AI3" i="5"/>
  <c r="Y152" i="4"/>
  <c r="AJ3" i="5"/>
  <c r="Z152" i="4"/>
  <c r="AL3" i="5"/>
  <c r="F3" i="5"/>
  <c r="L3" i="5"/>
  <c r="N3" i="5"/>
  <c r="O3" i="5"/>
  <c r="H3" i="5"/>
  <c r="I3" i="5"/>
  <c r="Z3" i="5"/>
  <c r="AN3" i="5"/>
  <c r="O4" i="5"/>
  <c r="H154" i="4"/>
  <c r="K4" i="5"/>
  <c r="AG4" i="5"/>
  <c r="AF4" i="5"/>
  <c r="C154" i="4"/>
  <c r="C4" i="5"/>
  <c r="I154" i="4"/>
  <c r="L4" i="5"/>
  <c r="J154" i="4"/>
  <c r="N4" i="5"/>
  <c r="L154" i="4"/>
  <c r="Q4" i="5"/>
  <c r="M154" i="4"/>
  <c r="R4" i="5"/>
  <c r="T4" i="5"/>
  <c r="O154" i="4"/>
  <c r="U4" i="5"/>
  <c r="W4" i="5"/>
  <c r="Q154" i="4"/>
  <c r="X4" i="5"/>
  <c r="AA4" i="5"/>
  <c r="AI154" i="4"/>
  <c r="T154" i="4" a="1"/>
  <c r="T154" i="4"/>
  <c r="AC4" i="5"/>
  <c r="U154" i="4" a="1"/>
  <c r="U154" i="4"/>
  <c r="AD4" i="5"/>
  <c r="X154" i="4"/>
  <c r="AI4" i="5"/>
  <c r="Y154" i="4"/>
  <c r="AJ4" i="5"/>
  <c r="Z154" i="4"/>
  <c r="AL4" i="5"/>
  <c r="F4" i="5"/>
  <c r="H4" i="5"/>
  <c r="I4" i="5"/>
  <c r="Z4" i="5"/>
  <c r="AN4" i="5"/>
  <c r="AG5" i="5"/>
  <c r="AF5" i="5"/>
  <c r="C194" i="4"/>
  <c r="C5" i="5"/>
  <c r="D194" i="4"/>
  <c r="E5" i="5"/>
  <c r="E194" i="4"/>
  <c r="F5" i="5"/>
  <c r="F194" i="4"/>
  <c r="H5" i="5"/>
  <c r="I5" i="5"/>
  <c r="H194" i="4"/>
  <c r="K5" i="5"/>
  <c r="L194" i="4"/>
  <c r="Q5" i="5"/>
  <c r="M194" i="4"/>
  <c r="T5" i="5"/>
  <c r="U5" i="5"/>
  <c r="P194" i="4"/>
  <c r="W5" i="5"/>
  <c r="Q194" i="4"/>
  <c r="X5" i="5"/>
  <c r="S194" i="4"/>
  <c r="AA5" i="5"/>
  <c r="AI194" i="4"/>
  <c r="T194" i="4" a="1"/>
  <c r="T194" i="4"/>
  <c r="AC5" i="5"/>
  <c r="U194" i="4" a="1"/>
  <c r="U194" i="4"/>
  <c r="AD5" i="5"/>
  <c r="X194" i="4"/>
  <c r="AI5" i="5"/>
  <c r="Y194" i="4"/>
  <c r="AJ5" i="5"/>
  <c r="Z194" i="4"/>
  <c r="AL5" i="5"/>
  <c r="L5" i="5"/>
  <c r="N5" i="5"/>
  <c r="O5" i="5"/>
  <c r="Z5" i="5"/>
  <c r="AN5" i="5"/>
  <c r="AG6" i="5"/>
  <c r="AF6" i="5"/>
  <c r="C212" i="4"/>
  <c r="C6" i="5"/>
  <c r="D212" i="4"/>
  <c r="E6" i="5"/>
  <c r="H212" i="4"/>
  <c r="K6" i="5"/>
  <c r="L212" i="4"/>
  <c r="Q6" i="5"/>
  <c r="M212" i="4"/>
  <c r="R6" i="5"/>
  <c r="T6" i="5"/>
  <c r="O212" i="4"/>
  <c r="U6" i="5"/>
  <c r="P212" i="4"/>
  <c r="W6" i="5"/>
  <c r="Q212" i="4"/>
  <c r="X6" i="5"/>
  <c r="S212" i="4"/>
  <c r="AA6" i="5"/>
  <c r="AD6" i="5"/>
  <c r="X212" i="4"/>
  <c r="AI6" i="5"/>
  <c r="Y212" i="4"/>
  <c r="AJ6" i="5"/>
  <c r="Z212" i="4"/>
  <c r="AL6" i="5"/>
  <c r="F6" i="5"/>
  <c r="H6" i="5"/>
  <c r="I6" i="5"/>
  <c r="L6" i="5"/>
  <c r="N6" i="5"/>
  <c r="O6" i="5"/>
  <c r="Z6" i="5"/>
  <c r="AN6" i="5"/>
  <c r="AG7" i="5"/>
  <c r="AF7" i="5"/>
  <c r="C213" i="4"/>
  <c r="C7" i="5"/>
  <c r="D213" i="4"/>
  <c r="E7" i="5"/>
  <c r="H213" i="4"/>
  <c r="K7" i="5"/>
  <c r="L213" i="4"/>
  <c r="Q7" i="5"/>
  <c r="M213" i="4"/>
  <c r="R7" i="5"/>
  <c r="T7" i="5"/>
  <c r="O213" i="4"/>
  <c r="U7" i="5"/>
  <c r="P213" i="4"/>
  <c r="W7" i="5"/>
  <c r="Q213" i="4"/>
  <c r="X7" i="5"/>
  <c r="S213" i="4"/>
  <c r="AA7" i="5"/>
  <c r="AD7" i="5"/>
  <c r="X213" i="4"/>
  <c r="AI7" i="5"/>
  <c r="Y213" i="4"/>
  <c r="AJ7" i="5"/>
  <c r="Z213" i="4"/>
  <c r="AL7" i="5"/>
  <c r="F7" i="5"/>
  <c r="H7" i="5"/>
  <c r="I7" i="5"/>
  <c r="L7" i="5"/>
  <c r="N7" i="5"/>
  <c r="O7" i="5"/>
  <c r="Z7" i="5"/>
  <c r="AN7" i="5"/>
  <c r="AG8" i="5"/>
  <c r="AF8" i="5"/>
  <c r="C265" i="4"/>
  <c r="C8" i="5"/>
  <c r="D265" i="4"/>
  <c r="E8" i="5"/>
  <c r="H265" i="4"/>
  <c r="K8" i="5"/>
  <c r="L265" i="4"/>
  <c r="Q8" i="5"/>
  <c r="M265" i="4"/>
  <c r="R8" i="5"/>
  <c r="T8" i="5"/>
  <c r="O265" i="4"/>
  <c r="U8" i="5"/>
  <c r="P265" i="4"/>
  <c r="W8" i="5"/>
  <c r="Q265" i="4"/>
  <c r="X8" i="5"/>
  <c r="S265" i="4"/>
  <c r="AA8" i="5"/>
  <c r="AI265" i="4"/>
  <c r="T265" i="4" a="1"/>
  <c r="T265" i="4"/>
  <c r="AC8" i="5"/>
  <c r="U265" i="4" a="1"/>
  <c r="U265" i="4"/>
  <c r="AD8" i="5"/>
  <c r="X265" i="4"/>
  <c r="AI8" i="5"/>
  <c r="Y265" i="4"/>
  <c r="AJ8" i="5"/>
  <c r="Z265" i="4"/>
  <c r="AL8" i="5"/>
  <c r="F8" i="5"/>
  <c r="H8" i="5"/>
  <c r="I8" i="5"/>
  <c r="L8" i="5"/>
  <c r="N8" i="5"/>
  <c r="O8" i="5"/>
  <c r="Z8" i="5"/>
  <c r="AN8" i="5"/>
  <c r="AG9" i="5"/>
  <c r="AF9" i="5"/>
  <c r="C113" i="4"/>
  <c r="C9" i="5"/>
  <c r="D113" i="4"/>
  <c r="E9" i="5"/>
  <c r="E113" i="4"/>
  <c r="F9" i="5"/>
  <c r="F113" i="4"/>
  <c r="H9" i="5"/>
  <c r="I9" i="5"/>
  <c r="H113" i="4"/>
  <c r="K9" i="5"/>
  <c r="L113" i="4"/>
  <c r="Q9" i="5"/>
  <c r="M113" i="4"/>
  <c r="R9" i="5"/>
  <c r="T9" i="5"/>
  <c r="O113" i="4"/>
  <c r="U9" i="5"/>
  <c r="P113" i="4"/>
  <c r="W9" i="5"/>
  <c r="Q113" i="4"/>
  <c r="X9" i="5"/>
  <c r="S113" i="4"/>
  <c r="AA9" i="5"/>
  <c r="AI113" i="4"/>
  <c r="T113" i="4" a="1"/>
  <c r="T113" i="4"/>
  <c r="AC9" i="5"/>
  <c r="U113" i="4" a="1"/>
  <c r="U113" i="4"/>
  <c r="AD9" i="5"/>
  <c r="X113" i="4"/>
  <c r="AI9" i="5"/>
  <c r="Y113" i="4"/>
  <c r="AJ9" i="5"/>
  <c r="Z113" i="4"/>
  <c r="AL9" i="5"/>
  <c r="L9" i="5"/>
  <c r="N9" i="5"/>
  <c r="O9" i="5"/>
  <c r="Z9" i="5"/>
  <c r="AN9" i="5"/>
  <c r="AG10" i="5"/>
  <c r="AF10" i="5"/>
  <c r="B30" i="4"/>
  <c r="C30" i="4"/>
  <c r="C10" i="5"/>
  <c r="D30" i="4"/>
  <c r="E10" i="5"/>
  <c r="K10" i="5"/>
  <c r="L30" i="4"/>
  <c r="Q10" i="5"/>
  <c r="M30" i="4"/>
  <c r="R10" i="5"/>
  <c r="T10" i="5"/>
  <c r="O30" i="4"/>
  <c r="U10" i="5"/>
  <c r="P30" i="4"/>
  <c r="W10" i="5"/>
  <c r="Q30" i="4"/>
  <c r="X10" i="5"/>
  <c r="S30" i="4"/>
  <c r="AA10" i="5"/>
  <c r="AI30" i="4"/>
  <c r="T30" i="4" a="1"/>
  <c r="T30" i="4"/>
  <c r="AC10" i="5"/>
  <c r="U30" i="4" a="1"/>
  <c r="U30" i="4"/>
  <c r="AD10" i="5"/>
  <c r="X30" i="4"/>
  <c r="AI10" i="5"/>
  <c r="Y30" i="4"/>
  <c r="AJ10" i="5"/>
  <c r="Z30" i="4"/>
  <c r="AL10" i="5"/>
  <c r="F10" i="5"/>
  <c r="H10" i="5"/>
  <c r="I10" i="5"/>
  <c r="L10" i="5"/>
  <c r="N10" i="5"/>
  <c r="O10" i="5"/>
  <c r="Z10" i="5"/>
  <c r="AN10" i="5"/>
  <c r="AG11" i="5"/>
  <c r="AF11" i="5"/>
  <c r="B31" i="4"/>
  <c r="C31" i="4"/>
  <c r="C11" i="5"/>
  <c r="D31" i="4"/>
  <c r="E11" i="5"/>
  <c r="K11" i="5"/>
  <c r="L31" i="4"/>
  <c r="Q11" i="5"/>
  <c r="M31" i="4"/>
  <c r="R11" i="5"/>
  <c r="T11" i="5"/>
  <c r="U11" i="5"/>
  <c r="P31" i="4"/>
  <c r="W11" i="5"/>
  <c r="Q31" i="4"/>
  <c r="X11" i="5"/>
  <c r="S31" i="4"/>
  <c r="AA11" i="5"/>
  <c r="AI31" i="4"/>
  <c r="T31" i="4" a="1"/>
  <c r="T31" i="4"/>
  <c r="AC11" i="5"/>
  <c r="U31" i="4" a="1"/>
  <c r="U31" i="4"/>
  <c r="AD11" i="5"/>
  <c r="X31" i="4"/>
  <c r="AI11" i="5"/>
  <c r="Y31" i="4"/>
  <c r="AJ11" i="5"/>
  <c r="Z31" i="4"/>
  <c r="AL11" i="5"/>
  <c r="F11" i="5"/>
  <c r="H11" i="5"/>
  <c r="I11" i="5"/>
  <c r="L11" i="5"/>
  <c r="N11" i="5"/>
  <c r="O11" i="5"/>
  <c r="Z11" i="5"/>
  <c r="AN11" i="5"/>
  <c r="S256" i="4"/>
  <c r="AA12" i="5"/>
  <c r="P256" i="4"/>
  <c r="W12" i="5"/>
  <c r="O12" i="5"/>
  <c r="K12" i="5"/>
  <c r="AG12" i="5"/>
  <c r="AF12" i="5"/>
  <c r="C256" i="4"/>
  <c r="C12" i="5"/>
  <c r="D256" i="4"/>
  <c r="E12" i="5"/>
  <c r="E256" i="4"/>
  <c r="F12" i="5"/>
  <c r="F256" i="4"/>
  <c r="H12" i="5"/>
  <c r="I12" i="5"/>
  <c r="L256" i="4"/>
  <c r="Q12" i="5"/>
  <c r="M256" i="4"/>
  <c r="R12" i="5"/>
  <c r="T12" i="5"/>
  <c r="O256" i="4"/>
  <c r="U12" i="5"/>
  <c r="Q256" i="4"/>
  <c r="X12" i="5"/>
  <c r="R256" i="4"/>
  <c r="Z12" i="5"/>
  <c r="AI256" i="4"/>
  <c r="T256" i="4" a="1"/>
  <c r="T256" i="4"/>
  <c r="AC12" i="5"/>
  <c r="U256" i="4" a="1"/>
  <c r="U256" i="4"/>
  <c r="AD12" i="5"/>
  <c r="X256" i="4"/>
  <c r="AI12" i="5"/>
  <c r="Y256" i="4"/>
  <c r="AJ12" i="5"/>
  <c r="Z256" i="4"/>
  <c r="AL12" i="5"/>
  <c r="AN12" i="5"/>
  <c r="S257" i="4"/>
  <c r="AA13" i="5"/>
  <c r="P257" i="4"/>
  <c r="W13" i="5"/>
  <c r="O13" i="5"/>
  <c r="K13" i="5"/>
  <c r="AG13" i="5"/>
  <c r="AF13" i="5"/>
  <c r="C257" i="4"/>
  <c r="C13" i="5"/>
  <c r="D257" i="4"/>
  <c r="E13" i="5"/>
  <c r="E257" i="4"/>
  <c r="F13" i="5"/>
  <c r="F257" i="4"/>
  <c r="H13" i="5"/>
  <c r="I13" i="5"/>
  <c r="I257" i="4"/>
  <c r="L13" i="5"/>
  <c r="J257" i="4"/>
  <c r="N13" i="5"/>
  <c r="L257" i="4"/>
  <c r="Q13" i="5"/>
  <c r="M257" i="4"/>
  <c r="R13" i="5"/>
  <c r="T13" i="5"/>
  <c r="U13" i="5"/>
  <c r="Q257" i="4"/>
  <c r="X13" i="5"/>
  <c r="R257" i="4"/>
  <c r="Z13" i="5"/>
  <c r="AI257" i="4"/>
  <c r="T257" i="4" a="1"/>
  <c r="T257" i="4"/>
  <c r="AC13" i="5"/>
  <c r="U257" i="4" a="1"/>
  <c r="U257" i="4"/>
  <c r="AD13" i="5"/>
  <c r="X257" i="4"/>
  <c r="AI13" i="5"/>
  <c r="Y257" i="4"/>
  <c r="AJ13" i="5"/>
  <c r="Z257" i="4"/>
  <c r="AL13" i="5"/>
  <c r="AN13" i="5"/>
  <c r="AG14" i="5"/>
  <c r="AF14" i="5"/>
  <c r="B143" i="4"/>
  <c r="C143" i="4"/>
  <c r="C14" i="5"/>
  <c r="D143" i="4"/>
  <c r="E14" i="5"/>
  <c r="E143" i="4"/>
  <c r="F14" i="5"/>
  <c r="F143" i="4"/>
  <c r="H14" i="5"/>
  <c r="I14" i="5"/>
  <c r="H143" i="4"/>
  <c r="K14" i="5"/>
  <c r="L143" i="4"/>
  <c r="Q14" i="5"/>
  <c r="M143" i="4"/>
  <c r="R14" i="5"/>
  <c r="T14" i="5"/>
  <c r="O143" i="4"/>
  <c r="U14" i="5"/>
  <c r="P143" i="4"/>
  <c r="W14" i="5"/>
  <c r="Q143" i="4"/>
  <c r="X14" i="5"/>
  <c r="S143" i="4"/>
  <c r="AA14" i="5"/>
  <c r="AI143" i="4"/>
  <c r="T143" i="4" a="1"/>
  <c r="T143" i="4"/>
  <c r="AC14" i="5"/>
  <c r="U143" i="4" a="1"/>
  <c r="U143" i="4"/>
  <c r="AD14" i="5"/>
  <c r="X143" i="4"/>
  <c r="AI14" i="5"/>
  <c r="Y143" i="4"/>
  <c r="AJ14" i="5"/>
  <c r="Z143" i="4"/>
  <c r="AL14" i="5"/>
  <c r="L14" i="5"/>
  <c r="N14" i="5"/>
  <c r="O14" i="5"/>
  <c r="Z14" i="5"/>
  <c r="AN14" i="5"/>
  <c r="AG15" i="5"/>
  <c r="AF15" i="5"/>
  <c r="B50" i="4"/>
  <c r="C50" i="4"/>
  <c r="C15" i="5"/>
  <c r="D50" i="4"/>
  <c r="E15" i="5"/>
  <c r="E50" i="4"/>
  <c r="F15" i="5"/>
  <c r="F50" i="4"/>
  <c r="H15" i="5"/>
  <c r="I15" i="5"/>
  <c r="K15" i="5"/>
  <c r="L50" i="4"/>
  <c r="Q15" i="5"/>
  <c r="M50" i="4"/>
  <c r="R15" i="5"/>
  <c r="T15" i="5"/>
  <c r="O50" i="4"/>
  <c r="U15" i="5"/>
  <c r="P50" i="4"/>
  <c r="W15" i="5"/>
  <c r="Q50" i="4"/>
  <c r="X15" i="5"/>
  <c r="S50" i="4"/>
  <c r="AA15" i="5"/>
  <c r="AI50" i="4"/>
  <c r="T50" i="4" a="1"/>
  <c r="T50" i="4"/>
  <c r="AC15" i="5"/>
  <c r="U50" i="4" a="1"/>
  <c r="U50" i="4"/>
  <c r="AD15" i="5"/>
  <c r="X50" i="4"/>
  <c r="AI15" i="5"/>
  <c r="Y50" i="4"/>
  <c r="AJ15" i="5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04" i="4"/>
  <c r="C204" i="4"/>
  <c r="C21" i="5"/>
  <c r="D204" i="4"/>
  <c r="E21" i="5"/>
  <c r="L204" i="4"/>
  <c r="Q21" i="5"/>
  <c r="M204" i="4"/>
  <c r="R21" i="5"/>
  <c r="T21" i="5"/>
  <c r="O204" i="4"/>
  <c r="U21" i="5"/>
  <c r="P204" i="4"/>
  <c r="W21" i="5"/>
  <c r="Q204" i="4"/>
  <c r="X21" i="5"/>
  <c r="S204" i="4"/>
  <c r="AA21" i="5"/>
  <c r="AI204" i="4"/>
  <c r="T204" i="4" a="1"/>
  <c r="T204" i="4"/>
  <c r="AC21" i="5"/>
  <c r="U204" i="4" a="1"/>
  <c r="U204" i="4"/>
  <c r="AD21" i="5"/>
  <c r="X204" i="4"/>
  <c r="AI21" i="5"/>
  <c r="Y204" i="4"/>
  <c r="AJ21" i="5"/>
  <c r="Z204" i="4"/>
  <c r="AL21" i="5"/>
  <c r="L21" i="5"/>
  <c r="N21" i="5"/>
  <c r="O21" i="5"/>
  <c r="F21" i="5"/>
  <c r="H21" i="5"/>
  <c r="I21" i="5"/>
  <c r="Z21" i="5"/>
  <c r="AN21" i="5"/>
  <c r="AG22" i="5"/>
  <c r="AF22" i="5"/>
  <c r="B205" i="4"/>
  <c r="C205" i="4"/>
  <c r="C22" i="5"/>
  <c r="D205" i="4"/>
  <c r="E22" i="5"/>
  <c r="H205" i="4"/>
  <c r="K22" i="5"/>
  <c r="L205" i="4"/>
  <c r="Q22" i="5"/>
  <c r="M205" i="4"/>
  <c r="R22" i="5"/>
  <c r="T22" i="5"/>
  <c r="O205" i="4"/>
  <c r="U22" i="5"/>
  <c r="P205" i="4"/>
  <c r="W22" i="5"/>
  <c r="Q205" i="4"/>
  <c r="X22" i="5"/>
  <c r="S205" i="4"/>
  <c r="AA22" i="5"/>
  <c r="AI205" i="4"/>
  <c r="T205" i="4" a="1"/>
  <c r="T205" i="4"/>
  <c r="AC22" i="5"/>
  <c r="U205" i="4" a="1"/>
  <c r="U205" i="4"/>
  <c r="AD22" i="5"/>
  <c r="X205" i="4"/>
  <c r="AI22" i="5"/>
  <c r="Y205" i="4"/>
  <c r="AJ22" i="5"/>
  <c r="Z205" i="4"/>
  <c r="AL22" i="5"/>
  <c r="L22" i="5"/>
  <c r="N22" i="5"/>
  <c r="O22" i="5"/>
  <c r="F22" i="5"/>
  <c r="H22" i="5"/>
  <c r="I22" i="5"/>
  <c r="Z22" i="5"/>
  <c r="AN22" i="5"/>
  <c r="AG23" i="5"/>
  <c r="AF23" i="5"/>
  <c r="C206" i="4"/>
  <c r="C23" i="5"/>
  <c r="D206" i="4"/>
  <c r="E23" i="5"/>
  <c r="H206" i="4"/>
  <c r="K23" i="5"/>
  <c r="I206" i="4"/>
  <c r="L23" i="5"/>
  <c r="J206" i="4"/>
  <c r="N23" i="5"/>
  <c r="O23" i="5"/>
  <c r="L206" i="4"/>
  <c r="Q23" i="5"/>
  <c r="M206" i="4"/>
  <c r="R23" i="5"/>
  <c r="T23" i="5"/>
  <c r="O206" i="4"/>
  <c r="U23" i="5"/>
  <c r="P206" i="4"/>
  <c r="W23" i="5"/>
  <c r="Q206" i="4"/>
  <c r="X23" i="5"/>
  <c r="S206" i="4"/>
  <c r="AA23" i="5"/>
  <c r="AI206" i="4"/>
  <c r="T206" i="4" a="1"/>
  <c r="T206" i="4"/>
  <c r="AC23" i="5"/>
  <c r="U206" i="4" a="1"/>
  <c r="U206" i="4"/>
  <c r="AD23" i="5"/>
  <c r="X206" i="4"/>
  <c r="AI23" i="5"/>
  <c r="Y206" i="4"/>
  <c r="AJ23" i="5"/>
  <c r="Z206" i="4"/>
  <c r="AL23" i="5"/>
  <c r="F23" i="5"/>
  <c r="H23" i="5"/>
  <c r="I23" i="5"/>
  <c r="Z23" i="5"/>
  <c r="AN23" i="5"/>
  <c r="AG24" i="5"/>
  <c r="AF24" i="5"/>
  <c r="C207" i="4"/>
  <c r="C24" i="5"/>
  <c r="D207" i="4"/>
  <c r="E24" i="5"/>
  <c r="H207" i="4"/>
  <c r="K24" i="5"/>
  <c r="L207" i="4"/>
  <c r="Q24" i="5"/>
  <c r="M207" i="4"/>
  <c r="R24" i="5"/>
  <c r="T24" i="5"/>
  <c r="O207" i="4"/>
  <c r="U24" i="5"/>
  <c r="P207" i="4"/>
  <c r="W24" i="5"/>
  <c r="Q207" i="4"/>
  <c r="X24" i="5"/>
  <c r="S207" i="4"/>
  <c r="AA24" i="5"/>
  <c r="AI207" i="4"/>
  <c r="T207" i="4" a="1"/>
  <c r="T207" i="4"/>
  <c r="AC24" i="5"/>
  <c r="U207" i="4" a="1"/>
  <c r="U207" i="4"/>
  <c r="AD24" i="5"/>
  <c r="X207" i="4"/>
  <c r="AI24" i="5"/>
  <c r="Y207" i="4"/>
  <c r="AJ24" i="5"/>
  <c r="Z207" i="4"/>
  <c r="AL24" i="5"/>
  <c r="L24" i="5"/>
  <c r="N24" i="5"/>
  <c r="O24" i="5"/>
  <c r="F24" i="5"/>
  <c r="H24" i="5"/>
  <c r="I24" i="5"/>
  <c r="Z24" i="5"/>
  <c r="AN24" i="5"/>
  <c r="AG25" i="5"/>
  <c r="AF25" i="5"/>
  <c r="C208" i="4"/>
  <c r="C25" i="5"/>
  <c r="D208" i="4"/>
  <c r="E25" i="5"/>
  <c r="H208" i="4"/>
  <c r="K25" i="5"/>
  <c r="L208" i="4"/>
  <c r="Q25" i="5"/>
  <c r="M208" i="4"/>
  <c r="R25" i="5"/>
  <c r="T25" i="5"/>
  <c r="O208" i="4"/>
  <c r="U25" i="5"/>
  <c r="P208" i="4"/>
  <c r="W25" i="5"/>
  <c r="Q208" i="4"/>
  <c r="X25" i="5"/>
  <c r="S208" i="4"/>
  <c r="AA25" i="5"/>
  <c r="AI208" i="4"/>
  <c r="T208" i="4" a="1"/>
  <c r="T208" i="4"/>
  <c r="AC25" i="5"/>
  <c r="U208" i="4" a="1"/>
  <c r="U208" i="4"/>
  <c r="AD25" i="5"/>
  <c r="X208" i="4"/>
  <c r="AI25" i="5"/>
  <c r="Y208" i="4"/>
  <c r="AJ25" i="5"/>
  <c r="Z208" i="4"/>
  <c r="AL25" i="5"/>
  <c r="L25" i="5"/>
  <c r="N25" i="5"/>
  <c r="O25" i="5"/>
  <c r="F25" i="5"/>
  <c r="H25" i="5"/>
  <c r="I25" i="5"/>
  <c r="Z25" i="5"/>
  <c r="AN25" i="5"/>
  <c r="AG26" i="5"/>
  <c r="AF26" i="5"/>
  <c r="C209" i="4"/>
  <c r="C26" i="5"/>
  <c r="D209" i="4"/>
  <c r="E26" i="5"/>
  <c r="H209" i="4"/>
  <c r="K26" i="5"/>
  <c r="L209" i="4"/>
  <c r="Q26" i="5"/>
  <c r="M209" i="4"/>
  <c r="R26" i="5"/>
  <c r="T26" i="5"/>
  <c r="O209" i="4"/>
  <c r="U26" i="5"/>
  <c r="P209" i="4"/>
  <c r="W26" i="5"/>
  <c r="Q209" i="4"/>
  <c r="X26" i="5"/>
  <c r="S209" i="4"/>
  <c r="AA26" i="5"/>
  <c r="AI209" i="4"/>
  <c r="T209" i="4" a="1"/>
  <c r="T209" i="4"/>
  <c r="AC26" i="5"/>
  <c r="U209" i="4" a="1"/>
  <c r="U209" i="4"/>
  <c r="AD26" i="5"/>
  <c r="X209" i="4"/>
  <c r="AI26" i="5"/>
  <c r="Y209" i="4"/>
  <c r="AJ26" i="5"/>
  <c r="Z209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227" i="4"/>
  <c r="C28" i="5"/>
  <c r="D227" i="4"/>
  <c r="E28" i="5"/>
  <c r="E227" i="4"/>
  <c r="F28" i="5"/>
  <c r="F227" i="4"/>
  <c r="H28" i="5"/>
  <c r="I28" i="5"/>
  <c r="H227" i="4"/>
  <c r="K28" i="5"/>
  <c r="L227" i="4"/>
  <c r="Q28" i="5"/>
  <c r="M227" i="4"/>
  <c r="R28" i="5"/>
  <c r="N227" i="4"/>
  <c r="T28" i="5"/>
  <c r="O227" i="4"/>
  <c r="U28" i="5"/>
  <c r="P227" i="4"/>
  <c r="W28" i="5"/>
  <c r="Q227" i="4"/>
  <c r="X28" i="5"/>
  <c r="S227" i="4"/>
  <c r="AA28" i="5"/>
  <c r="AI227" i="4"/>
  <c r="T227" i="4" a="1"/>
  <c r="T227" i="4"/>
  <c r="AC28" i="5"/>
  <c r="U227" i="4" a="1"/>
  <c r="U227" i="4"/>
  <c r="AD28" i="5"/>
  <c r="X227" i="4"/>
  <c r="AI28" i="5"/>
  <c r="Y227" i="4"/>
  <c r="AJ28" i="5"/>
  <c r="Z227" i="4"/>
  <c r="AL28" i="5"/>
  <c r="L28" i="5"/>
  <c r="N28" i="5"/>
  <c r="O28" i="5"/>
  <c r="Z28" i="5"/>
  <c r="AN28" i="5"/>
  <c r="O29" i="5"/>
  <c r="B298" i="4"/>
  <c r="H298" i="4"/>
  <c r="K29" i="5"/>
  <c r="AG29" i="5"/>
  <c r="AF29" i="5"/>
  <c r="C298" i="4"/>
  <c r="C29" i="5"/>
  <c r="D298" i="4"/>
  <c r="E29" i="5"/>
  <c r="I298" i="4"/>
  <c r="L29" i="5"/>
  <c r="J298" i="4"/>
  <c r="N29" i="5"/>
  <c r="L298" i="4"/>
  <c r="Q29" i="5"/>
  <c r="M298" i="4"/>
  <c r="R29" i="5"/>
  <c r="T29" i="5"/>
  <c r="O298" i="4"/>
  <c r="U29" i="5"/>
  <c r="P298" i="4"/>
  <c r="W29" i="5"/>
  <c r="Q298" i="4"/>
  <c r="X29" i="5"/>
  <c r="AA29" i="5"/>
  <c r="AI298" i="4"/>
  <c r="T298" i="4" a="1"/>
  <c r="T298" i="4"/>
  <c r="AC29" i="5"/>
  <c r="U298" i="4" a="1"/>
  <c r="U298" i="4"/>
  <c r="AD29" i="5"/>
  <c r="Y298" i="4"/>
  <c r="AJ29" i="5"/>
  <c r="Z298" i="4"/>
  <c r="AL29" i="5"/>
  <c r="F29" i="5"/>
  <c r="H29" i="5"/>
  <c r="I29" i="5"/>
  <c r="Z29" i="5"/>
  <c r="AN29" i="5"/>
  <c r="AG30" i="5"/>
  <c r="AF30" i="5"/>
  <c r="B299" i="4"/>
  <c r="C299" i="4"/>
  <c r="C30" i="5"/>
  <c r="D299" i="4"/>
  <c r="E30" i="5"/>
  <c r="H299" i="4"/>
  <c r="K30" i="5"/>
  <c r="L299" i="4"/>
  <c r="Q30" i="5"/>
  <c r="M299" i="4"/>
  <c r="R30" i="5"/>
  <c r="T30" i="5"/>
  <c r="O299" i="4"/>
  <c r="U30" i="5"/>
  <c r="P299" i="4"/>
  <c r="W30" i="5"/>
  <c r="Q299" i="4"/>
  <c r="X30" i="5"/>
  <c r="AA30" i="5"/>
  <c r="AI299" i="4"/>
  <c r="T299" i="4" a="1"/>
  <c r="T299" i="4"/>
  <c r="AC30" i="5"/>
  <c r="U299" i="4" a="1"/>
  <c r="U299" i="4"/>
  <c r="AD30" i="5"/>
  <c r="Y299" i="4"/>
  <c r="AJ30" i="5"/>
  <c r="Z299" i="4"/>
  <c r="AL30" i="5"/>
  <c r="L30" i="5"/>
  <c r="N30" i="5"/>
  <c r="O30" i="5"/>
  <c r="F30" i="5"/>
  <c r="H30" i="5"/>
  <c r="I30" i="5"/>
  <c r="Z30" i="5"/>
  <c r="AN30" i="5"/>
  <c r="S75" i="4"/>
  <c r="AA31" i="5"/>
  <c r="P75" i="4"/>
  <c r="W31" i="5"/>
  <c r="AG31" i="5"/>
  <c r="AF31" i="5"/>
  <c r="C75" i="4"/>
  <c r="C31" i="5"/>
  <c r="D75" i="4"/>
  <c r="E31" i="5"/>
  <c r="K31" i="5"/>
  <c r="L75" i="4"/>
  <c r="Q31" i="5"/>
  <c r="M75" i="4"/>
  <c r="R31" i="5"/>
  <c r="T31" i="5"/>
  <c r="O75" i="4"/>
  <c r="U31" i="5"/>
  <c r="Q75" i="4"/>
  <c r="X31" i="5"/>
  <c r="R75" i="4"/>
  <c r="Z31" i="5"/>
  <c r="AI75" i="4"/>
  <c r="T75" i="4" a="1"/>
  <c r="T75" i="4"/>
  <c r="AC31" i="5"/>
  <c r="U75" i="4" a="1"/>
  <c r="U75" i="4"/>
  <c r="AD31" i="5"/>
  <c r="AI31" i="5"/>
  <c r="Y75" i="4"/>
  <c r="AJ31" i="5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C87" i="4"/>
  <c r="C35" i="5"/>
  <c r="D87" i="4"/>
  <c r="E35" i="5"/>
  <c r="K35" i="5"/>
  <c r="L87" i="4"/>
  <c r="Q35" i="5"/>
  <c r="M87" i="4"/>
  <c r="R35" i="5"/>
  <c r="T35" i="5"/>
  <c r="O87" i="4"/>
  <c r="U35" i="5"/>
  <c r="P87" i="4"/>
  <c r="W35" i="5"/>
  <c r="Q87" i="4"/>
  <c r="X35" i="5"/>
  <c r="S87" i="4"/>
  <c r="AA35" i="5"/>
  <c r="AI87" i="4"/>
  <c r="T87" i="4" a="1"/>
  <c r="T87" i="4"/>
  <c r="AC35" i="5"/>
  <c r="U87" i="4" a="1"/>
  <c r="U87" i="4"/>
  <c r="AD35" i="5"/>
  <c r="AI35" i="5"/>
  <c r="Y87" i="4"/>
  <c r="AJ35" i="5"/>
  <c r="Z87" i="4"/>
  <c r="AL35" i="5"/>
  <c r="L35" i="5"/>
  <c r="F35" i="5"/>
  <c r="H35" i="5"/>
  <c r="I35" i="5"/>
  <c r="N35" i="5"/>
  <c r="O35" i="5"/>
  <c r="Z35" i="5"/>
  <c r="AN35" i="5"/>
  <c r="AG36" i="5"/>
  <c r="AF36" i="5"/>
  <c r="C245" i="4"/>
  <c r="C36" i="5"/>
  <c r="D245" i="4"/>
  <c r="E36" i="5"/>
  <c r="K36" i="5"/>
  <c r="L245" i="4"/>
  <c r="Q36" i="5"/>
  <c r="M245" i="4"/>
  <c r="T36" i="5"/>
  <c r="O245" i="4"/>
  <c r="U36" i="5"/>
  <c r="P245" i="4"/>
  <c r="W36" i="5"/>
  <c r="Q245" i="4"/>
  <c r="X36" i="5"/>
  <c r="S245" i="4"/>
  <c r="AA36" i="5"/>
  <c r="AI245" i="4"/>
  <c r="T245" i="4" a="1"/>
  <c r="T245" i="4"/>
  <c r="AC36" i="5"/>
  <c r="U245" i="4" a="1"/>
  <c r="U245" i="4"/>
  <c r="AD36" i="5"/>
  <c r="X245" i="4"/>
  <c r="AI36" i="5"/>
  <c r="Y245" i="4"/>
  <c r="AJ36" i="5"/>
  <c r="Z245" i="4"/>
  <c r="AL36" i="5"/>
  <c r="L36" i="5"/>
  <c r="F36" i="5"/>
  <c r="H36" i="5"/>
  <c r="I36" i="5"/>
  <c r="N36" i="5"/>
  <c r="O36" i="5"/>
  <c r="Z36" i="5"/>
  <c r="AN36" i="5"/>
  <c r="AG37" i="5"/>
  <c r="AF37" i="5"/>
  <c r="C246" i="4"/>
  <c r="C37" i="5"/>
  <c r="D246" i="4"/>
  <c r="E37" i="5"/>
  <c r="K37" i="5"/>
  <c r="L246" i="4"/>
  <c r="Q37" i="5"/>
  <c r="M246" i="4"/>
  <c r="T37" i="5"/>
  <c r="O246" i="4"/>
  <c r="U37" i="5"/>
  <c r="P246" i="4"/>
  <c r="W37" i="5"/>
  <c r="S246" i="4"/>
  <c r="AA37" i="5"/>
  <c r="AI246" i="4"/>
  <c r="T246" i="4" a="1"/>
  <c r="T246" i="4"/>
  <c r="AC37" i="5"/>
  <c r="U246" i="4" a="1"/>
  <c r="U246" i="4"/>
  <c r="AD37" i="5"/>
  <c r="X246" i="4"/>
  <c r="AI37" i="5"/>
  <c r="Y246" i="4"/>
  <c r="AJ37" i="5"/>
  <c r="Z246" i="4"/>
  <c r="AL37" i="5"/>
  <c r="L37" i="5"/>
  <c r="F37" i="5"/>
  <c r="H37" i="5"/>
  <c r="I37" i="5"/>
  <c r="N37" i="5"/>
  <c r="O37" i="5"/>
  <c r="Z37" i="5"/>
  <c r="AN37" i="5"/>
  <c r="AG38" i="5"/>
  <c r="AF38" i="5"/>
  <c r="B88" i="4"/>
  <c r="C88" i="4"/>
  <c r="C38" i="5"/>
  <c r="D88" i="4"/>
  <c r="E38" i="5"/>
  <c r="H88" i="4"/>
  <c r="K38" i="5"/>
  <c r="L88" i="4"/>
  <c r="Q38" i="5"/>
  <c r="M88" i="4"/>
  <c r="R38" i="5"/>
  <c r="T38" i="5"/>
  <c r="U38" i="5"/>
  <c r="P88" i="4"/>
  <c r="W38" i="5"/>
  <c r="Q88" i="4"/>
  <c r="X38" i="5"/>
  <c r="AA38" i="5"/>
  <c r="AI88" i="4"/>
  <c r="T88" i="4" a="1"/>
  <c r="T88" i="4"/>
  <c r="AC38" i="5"/>
  <c r="U88" i="4" a="1"/>
  <c r="U88" i="4"/>
  <c r="AD38" i="5"/>
  <c r="X88" i="4"/>
  <c r="AI38" i="5"/>
  <c r="Y88" i="4"/>
  <c r="AJ38" i="5"/>
  <c r="Z88" i="4"/>
  <c r="AL38" i="5"/>
  <c r="F38" i="5"/>
  <c r="H38" i="5"/>
  <c r="I38" i="5"/>
  <c r="L38" i="5"/>
  <c r="N38" i="5"/>
  <c r="O38" i="5"/>
  <c r="Z38" i="5"/>
  <c r="AN38" i="5"/>
  <c r="AG39" i="5"/>
  <c r="AF39" i="5"/>
  <c r="B89" i="4"/>
  <c r="C89" i="4"/>
  <c r="C39" i="5"/>
  <c r="D89" i="4"/>
  <c r="E39" i="5"/>
  <c r="H89" i="4"/>
  <c r="K39" i="5"/>
  <c r="L89" i="4"/>
  <c r="Q39" i="5"/>
  <c r="M89" i="4"/>
  <c r="R39" i="5"/>
  <c r="N89" i="4"/>
  <c r="T39" i="5"/>
  <c r="O89" i="4"/>
  <c r="U39" i="5"/>
  <c r="P89" i="4"/>
  <c r="W39" i="5"/>
  <c r="Q89" i="4"/>
  <c r="X39" i="5"/>
  <c r="AA39" i="5"/>
  <c r="AI89" i="4"/>
  <c r="T89" i="4" a="1"/>
  <c r="T89" i="4"/>
  <c r="AC39" i="5"/>
  <c r="U89" i="4" a="1"/>
  <c r="U89" i="4"/>
  <c r="AD39" i="5"/>
  <c r="X89" i="4"/>
  <c r="AI39" i="5"/>
  <c r="Y89" i="4"/>
  <c r="AJ39" i="5"/>
  <c r="Z89" i="4"/>
  <c r="AL39" i="5"/>
  <c r="F39" i="5"/>
  <c r="H39" i="5"/>
  <c r="I39" i="5"/>
  <c r="L39" i="5"/>
  <c r="N39" i="5"/>
  <c r="O39" i="5"/>
  <c r="Z39" i="5"/>
  <c r="AN39" i="5"/>
  <c r="AG40" i="5"/>
  <c r="AF40" i="5"/>
  <c r="B90" i="4"/>
  <c r="C90" i="4"/>
  <c r="C40" i="5"/>
  <c r="D90" i="4"/>
  <c r="E40" i="5"/>
  <c r="H90" i="4"/>
  <c r="K40" i="5"/>
  <c r="L90" i="4"/>
  <c r="Q40" i="5"/>
  <c r="M90" i="4"/>
  <c r="R40" i="5"/>
  <c r="T40" i="5"/>
  <c r="U40" i="5"/>
  <c r="P90" i="4"/>
  <c r="W40" i="5"/>
  <c r="Q90" i="4"/>
  <c r="X40" i="5"/>
  <c r="AA40" i="5"/>
  <c r="AI90" i="4"/>
  <c r="T90" i="4" a="1"/>
  <c r="T90" i="4"/>
  <c r="AC40" i="5"/>
  <c r="U90" i="4" a="1"/>
  <c r="U90" i="4"/>
  <c r="AD40" i="5"/>
  <c r="X90" i="4"/>
  <c r="AI40" i="5"/>
  <c r="Y90" i="4"/>
  <c r="AJ40" i="5"/>
  <c r="Z90" i="4"/>
  <c r="AL40" i="5"/>
  <c r="F40" i="5"/>
  <c r="H40" i="5"/>
  <c r="I40" i="5"/>
  <c r="L40" i="5"/>
  <c r="N40" i="5"/>
  <c r="O40" i="5"/>
  <c r="Z40" i="5"/>
  <c r="AN40" i="5"/>
  <c r="AG41" i="5"/>
  <c r="AF41" i="5"/>
  <c r="C91" i="4"/>
  <c r="C41" i="5"/>
  <c r="D91" i="4"/>
  <c r="E41" i="5"/>
  <c r="H91" i="4"/>
  <c r="K41" i="5"/>
  <c r="L91" i="4"/>
  <c r="Q41" i="5"/>
  <c r="M91" i="4"/>
  <c r="R41" i="5"/>
  <c r="T41" i="5"/>
  <c r="U41" i="5"/>
  <c r="P91" i="4"/>
  <c r="W41" i="5"/>
  <c r="Q91" i="4"/>
  <c r="X41" i="5"/>
  <c r="AA41" i="5"/>
  <c r="AI91" i="4"/>
  <c r="T91" i="4" a="1"/>
  <c r="T91" i="4"/>
  <c r="AC41" i="5"/>
  <c r="U91" i="4" a="1"/>
  <c r="U91" i="4"/>
  <c r="AD41" i="5"/>
  <c r="X91" i="4"/>
  <c r="AI41" i="5"/>
  <c r="Y91" i="4"/>
  <c r="AJ41" i="5"/>
  <c r="Z91" i="4"/>
  <c r="AL41" i="5"/>
  <c r="F41" i="5"/>
  <c r="H41" i="5"/>
  <c r="I41" i="5"/>
  <c r="L41" i="5"/>
  <c r="N41" i="5"/>
  <c r="O41" i="5"/>
  <c r="Z41" i="5"/>
  <c r="AN41" i="5"/>
  <c r="AG42" i="5"/>
  <c r="AF42" i="5"/>
  <c r="B92" i="4"/>
  <c r="C92" i="4"/>
  <c r="C42" i="5"/>
  <c r="D92" i="4"/>
  <c r="E42" i="5"/>
  <c r="H92" i="4"/>
  <c r="K42" i="5"/>
  <c r="L92" i="4"/>
  <c r="Q42" i="5"/>
  <c r="M92" i="4"/>
  <c r="R42" i="5"/>
  <c r="T42" i="5"/>
  <c r="U42" i="5"/>
  <c r="P92" i="4"/>
  <c r="W42" i="5"/>
  <c r="Q92" i="4"/>
  <c r="X42" i="5"/>
  <c r="AA42" i="5"/>
  <c r="AI92" i="4"/>
  <c r="T92" i="4" a="1"/>
  <c r="T92" i="4"/>
  <c r="AC42" i="5"/>
  <c r="U92" i="4" a="1"/>
  <c r="U92" i="4"/>
  <c r="AD42" i="5"/>
  <c r="X92" i="4"/>
  <c r="AI42" i="5"/>
  <c r="Y92" i="4"/>
  <c r="AJ42" i="5"/>
  <c r="Z92" i="4"/>
  <c r="AL42" i="5"/>
  <c r="F42" i="5"/>
  <c r="H42" i="5"/>
  <c r="I42" i="5"/>
  <c r="L42" i="5"/>
  <c r="N42" i="5"/>
  <c r="O42" i="5"/>
  <c r="Z42" i="5"/>
  <c r="AN42" i="5"/>
  <c r="AG43" i="5"/>
  <c r="AF43" i="5"/>
  <c r="C248" i="4"/>
  <c r="C43" i="5"/>
  <c r="T43" i="5"/>
  <c r="O248" i="4"/>
  <c r="U43" i="5"/>
  <c r="P248" i="4"/>
  <c r="W43" i="5"/>
  <c r="Q248" i="4"/>
  <c r="X43" i="5"/>
  <c r="AA43" i="5"/>
  <c r="AI248" i="4"/>
  <c r="T248" i="4" a="1"/>
  <c r="T248" i="4"/>
  <c r="AC43" i="5"/>
  <c r="U248" i="4" a="1"/>
  <c r="U248" i="4"/>
  <c r="AD43" i="5"/>
  <c r="X248" i="4"/>
  <c r="AI43" i="5"/>
  <c r="Y248" i="4"/>
  <c r="AJ43" i="5"/>
  <c r="Z248" i="4"/>
  <c r="AL43" i="5"/>
  <c r="F43" i="5"/>
  <c r="H43" i="5"/>
  <c r="I43" i="5"/>
  <c r="L43" i="5"/>
  <c r="N43" i="5"/>
  <c r="O43" i="5"/>
  <c r="Z43" i="5"/>
  <c r="AN43" i="5"/>
  <c r="AG44" i="5"/>
  <c r="AF44" i="5"/>
  <c r="C249" i="4"/>
  <c r="C44" i="5"/>
  <c r="N249" i="4"/>
  <c r="T44" i="5"/>
  <c r="O249" i="4"/>
  <c r="U44" i="5"/>
  <c r="P249" i="4"/>
  <c r="W44" i="5"/>
  <c r="Q249" i="4"/>
  <c r="X44" i="5"/>
  <c r="AA44" i="5"/>
  <c r="AI249" i="4"/>
  <c r="T249" i="4" a="1"/>
  <c r="T249" i="4"/>
  <c r="AC44" i="5"/>
  <c r="U249" i="4" a="1"/>
  <c r="U249" i="4"/>
  <c r="AD44" i="5"/>
  <c r="X249" i="4"/>
  <c r="AI44" i="5"/>
  <c r="Y249" i="4"/>
  <c r="AJ44" i="5"/>
  <c r="Z249" i="4"/>
  <c r="AL44" i="5"/>
  <c r="F44" i="5"/>
  <c r="H44" i="5"/>
  <c r="I44" i="5"/>
  <c r="L44" i="5"/>
  <c r="N44" i="5"/>
  <c r="O44" i="5"/>
  <c r="Z44" i="5"/>
  <c r="AN44" i="5"/>
  <c r="AG45" i="5"/>
  <c r="AF45" i="5"/>
  <c r="C250" i="4"/>
  <c r="C45" i="5"/>
  <c r="T45" i="5"/>
  <c r="O250" i="4"/>
  <c r="U45" i="5"/>
  <c r="P250" i="4"/>
  <c r="W45" i="5"/>
  <c r="Q250" i="4"/>
  <c r="X45" i="5"/>
  <c r="AA45" i="5"/>
  <c r="AI250" i="4"/>
  <c r="T250" i="4" a="1"/>
  <c r="T250" i="4"/>
  <c r="AC45" i="5"/>
  <c r="U250" i="4" a="1"/>
  <c r="U250" i="4"/>
  <c r="AD45" i="5"/>
  <c r="X250" i="4"/>
  <c r="AI45" i="5"/>
  <c r="Y250" i="4"/>
  <c r="AJ45" i="5"/>
  <c r="Z250" i="4"/>
  <c r="AL45" i="5"/>
  <c r="Z45" i="5"/>
  <c r="AN45" i="5"/>
  <c r="AG46" i="5"/>
  <c r="AF46" i="5"/>
  <c r="C93" i="4"/>
  <c r="C46" i="5"/>
  <c r="D93" i="4"/>
  <c r="E46" i="5"/>
  <c r="H93" i="4"/>
  <c r="K46" i="5"/>
  <c r="L93" i="4"/>
  <c r="Q46" i="5"/>
  <c r="M93" i="4"/>
  <c r="R46" i="5"/>
  <c r="T46" i="5"/>
  <c r="U46" i="5"/>
  <c r="P93" i="4"/>
  <c r="W46" i="5"/>
  <c r="Q93" i="4"/>
  <c r="X46" i="5"/>
  <c r="AA46" i="5"/>
  <c r="AI93" i="4"/>
  <c r="T93" i="4" a="1"/>
  <c r="T93" i="4"/>
  <c r="AC46" i="5"/>
  <c r="U93" i="4" a="1"/>
  <c r="U93" i="4"/>
  <c r="AD46" i="5"/>
  <c r="Y93" i="4"/>
  <c r="AJ46" i="5"/>
  <c r="Z93" i="4"/>
  <c r="AL46" i="5"/>
  <c r="F46" i="5"/>
  <c r="H46" i="5"/>
  <c r="I46" i="5"/>
  <c r="L46" i="5"/>
  <c r="N46" i="5"/>
  <c r="O46" i="5"/>
  <c r="Z46" i="5"/>
  <c r="AN46" i="5"/>
  <c r="AG47" i="5"/>
  <c r="AF47" i="5"/>
  <c r="C251" i="4"/>
  <c r="C47" i="5"/>
  <c r="D251" i="4"/>
  <c r="E47" i="5"/>
  <c r="H251" i="4"/>
  <c r="K47" i="5"/>
  <c r="L251" i="4"/>
  <c r="Q47" i="5"/>
  <c r="M251" i="4"/>
  <c r="R47" i="5"/>
  <c r="T47" i="5"/>
  <c r="O251" i="4"/>
  <c r="U47" i="5"/>
  <c r="P251" i="4"/>
  <c r="W47" i="5"/>
  <c r="Q251" i="4"/>
  <c r="X47" i="5"/>
  <c r="AA47" i="5"/>
  <c r="AI251" i="4"/>
  <c r="T251" i="4" a="1"/>
  <c r="T251" i="4"/>
  <c r="AC47" i="5"/>
  <c r="U251" i="4" a="1"/>
  <c r="U251" i="4"/>
  <c r="AD47" i="5"/>
  <c r="X251" i="4"/>
  <c r="AI47" i="5"/>
  <c r="Y251" i="4"/>
  <c r="AJ47" i="5"/>
  <c r="Z251" i="4"/>
  <c r="AL47" i="5"/>
  <c r="F47" i="5"/>
  <c r="H47" i="5"/>
  <c r="I47" i="5"/>
  <c r="L47" i="5"/>
  <c r="N47" i="5"/>
  <c r="O47" i="5"/>
  <c r="Z47" i="5"/>
  <c r="AN47" i="5"/>
  <c r="AG48" i="5"/>
  <c r="AF48" i="5"/>
  <c r="B94" i="4"/>
  <c r="C94" i="4"/>
  <c r="C48" i="5"/>
  <c r="D94" i="4"/>
  <c r="E48" i="5"/>
  <c r="H94" i="4"/>
  <c r="K48" i="5"/>
  <c r="L94" i="4"/>
  <c r="Q48" i="5"/>
  <c r="M94" i="4"/>
  <c r="R48" i="5"/>
  <c r="T48" i="5"/>
  <c r="U48" i="5"/>
  <c r="P94" i="4"/>
  <c r="W48" i="5"/>
  <c r="Q94" i="4"/>
  <c r="X48" i="5"/>
  <c r="AA48" i="5"/>
  <c r="AI94" i="4"/>
  <c r="T94" i="4" a="1"/>
  <c r="T94" i="4"/>
  <c r="AC48" i="5"/>
  <c r="U94" i="4" a="1"/>
  <c r="U94" i="4"/>
  <c r="AD48" i="5"/>
  <c r="X94" i="4"/>
  <c r="AI48" i="5"/>
  <c r="Y94" i="4"/>
  <c r="AJ48" i="5"/>
  <c r="Z94" i="4"/>
  <c r="AL48" i="5"/>
  <c r="F48" i="5"/>
  <c r="H48" i="5"/>
  <c r="I48" i="5"/>
  <c r="L48" i="5"/>
  <c r="N48" i="5"/>
  <c r="O48" i="5"/>
  <c r="Z48" i="5"/>
  <c r="AN48" i="5"/>
  <c r="AG49" i="5"/>
  <c r="AF49" i="5"/>
  <c r="B252" i="4"/>
  <c r="C252" i="4"/>
  <c r="C49" i="5"/>
  <c r="D252" i="4"/>
  <c r="E49" i="5"/>
  <c r="H252" i="4"/>
  <c r="K49" i="5"/>
  <c r="L252" i="4"/>
  <c r="Q49" i="5"/>
  <c r="M252" i="4"/>
  <c r="R49" i="5"/>
  <c r="T49" i="5"/>
  <c r="O252" i="4"/>
  <c r="U49" i="5"/>
  <c r="P252" i="4"/>
  <c r="W49" i="5"/>
  <c r="Q252" i="4"/>
  <c r="X49" i="5"/>
  <c r="AA49" i="5"/>
  <c r="AI252" i="4"/>
  <c r="T252" i="4" a="1"/>
  <c r="T252" i="4"/>
  <c r="AC49" i="5"/>
  <c r="U252" i="4" a="1"/>
  <c r="U252" i="4"/>
  <c r="AD49" i="5"/>
  <c r="X252" i="4"/>
  <c r="AI49" i="5"/>
  <c r="Y252" i="4"/>
  <c r="AJ49" i="5"/>
  <c r="Z252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6" i="4"/>
  <c r="AA50" i="5"/>
  <c r="AI16" i="4"/>
  <c r="T16" i="4" a="1"/>
  <c r="T16" i="4"/>
  <c r="AC50" i="5"/>
  <c r="U16" i="4" a="1"/>
  <c r="U16" i="4"/>
  <c r="AD50" i="5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B17" i="4"/>
  <c r="C17" i="4"/>
  <c r="C51" i="5"/>
  <c r="D17" i="4"/>
  <c r="E51" i="5"/>
  <c r="L17" i="4"/>
  <c r="Q51" i="5"/>
  <c r="M17" i="4"/>
  <c r="R51" i="5"/>
  <c r="N17" i="4"/>
  <c r="T51" i="5"/>
  <c r="O17" i="4"/>
  <c r="U51" i="5"/>
  <c r="P17" i="4"/>
  <c r="W51" i="5"/>
  <c r="Q17" i="4"/>
  <c r="X51" i="5"/>
  <c r="S17" i="4"/>
  <c r="AA51" i="5"/>
  <c r="X17" i="4"/>
  <c r="AI51" i="5"/>
  <c r="Y17" i="4"/>
  <c r="AJ51" i="5"/>
  <c r="Z17" i="4"/>
  <c r="AL51" i="5"/>
  <c r="L51" i="5"/>
  <c r="F51" i="5"/>
  <c r="H51" i="5"/>
  <c r="I51" i="5"/>
  <c r="N51" i="5"/>
  <c r="O51" i="5"/>
  <c r="Z51" i="5"/>
  <c r="AN51" i="5"/>
  <c r="AG52" i="5"/>
  <c r="AF52" i="5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0" i="4"/>
  <c r="L54" i="5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96" i="4"/>
  <c r="C55" i="5"/>
  <c r="D96" i="4"/>
  <c r="E55" i="5"/>
  <c r="H96" i="4"/>
  <c r="K55" i="5"/>
  <c r="L96" i="4"/>
  <c r="Q55" i="5"/>
  <c r="M96" i="4"/>
  <c r="R55" i="5"/>
  <c r="N96" i="4"/>
  <c r="T55" i="5"/>
  <c r="O96" i="4"/>
  <c r="U55" i="5"/>
  <c r="P96" i="4"/>
  <c r="W55" i="5"/>
  <c r="Q96" i="4"/>
  <c r="X55" i="5"/>
  <c r="AA55" i="5"/>
  <c r="AI96" i="4"/>
  <c r="T96" i="4" a="1"/>
  <c r="T96" i="4"/>
  <c r="AC55" i="5"/>
  <c r="U96" i="4" a="1"/>
  <c r="U96" i="4"/>
  <c r="AD55" i="5"/>
  <c r="X96" i="4"/>
  <c r="AI55" i="5"/>
  <c r="Y96" i="4"/>
  <c r="AJ55" i="5"/>
  <c r="Z96" i="4"/>
  <c r="AL55" i="5"/>
  <c r="L55" i="5"/>
  <c r="N55" i="5"/>
  <c r="O55" i="5"/>
  <c r="F55" i="5"/>
  <c r="H55" i="5"/>
  <c r="I55" i="5"/>
  <c r="Z55" i="5"/>
  <c r="AN55" i="5"/>
  <c r="AG56" i="5"/>
  <c r="AF56" i="5"/>
  <c r="C97" i="4"/>
  <c r="C56" i="5"/>
  <c r="D97" i="4"/>
  <c r="E56" i="5"/>
  <c r="H97" i="4"/>
  <c r="K56" i="5"/>
  <c r="L97" i="4"/>
  <c r="Q56" i="5"/>
  <c r="M97" i="4"/>
  <c r="R56" i="5"/>
  <c r="N97" i="4"/>
  <c r="T56" i="5"/>
  <c r="O97" i="4"/>
  <c r="U56" i="5"/>
  <c r="P97" i="4"/>
  <c r="W56" i="5"/>
  <c r="Q97" i="4"/>
  <c r="X56" i="5"/>
  <c r="AA56" i="5"/>
  <c r="AI97" i="4"/>
  <c r="T97" i="4" a="1"/>
  <c r="T97" i="4"/>
  <c r="AC56" i="5"/>
  <c r="U97" i="4" a="1"/>
  <c r="U97" i="4"/>
  <c r="AD56" i="5"/>
  <c r="X97" i="4"/>
  <c r="AI56" i="5"/>
  <c r="Y97" i="4"/>
  <c r="AJ56" i="5"/>
  <c r="Z97" i="4"/>
  <c r="AL56" i="5"/>
  <c r="L56" i="5"/>
  <c r="N56" i="5"/>
  <c r="O56" i="5"/>
  <c r="F56" i="5"/>
  <c r="H56" i="5"/>
  <c r="I56" i="5"/>
  <c r="Z56" i="5"/>
  <c r="AN56" i="5"/>
  <c r="AG57" i="5"/>
  <c r="AF57" i="5"/>
  <c r="C98" i="4"/>
  <c r="C57" i="5"/>
  <c r="D98" i="4"/>
  <c r="E57" i="5"/>
  <c r="H98" i="4"/>
  <c r="K57" i="5"/>
  <c r="L98" i="4"/>
  <c r="Q57" i="5"/>
  <c r="M98" i="4"/>
  <c r="R57" i="5"/>
  <c r="T57" i="5"/>
  <c r="U57" i="5"/>
  <c r="P98" i="4"/>
  <c r="W57" i="5"/>
  <c r="Q98" i="4"/>
  <c r="X57" i="5"/>
  <c r="AA57" i="5"/>
  <c r="AI98" i="4"/>
  <c r="T98" i="4" a="1"/>
  <c r="T98" i="4"/>
  <c r="AC57" i="5"/>
  <c r="U98" i="4" a="1"/>
  <c r="U98" i="4"/>
  <c r="AD57" i="5"/>
  <c r="X98" i="4"/>
  <c r="AI57" i="5"/>
  <c r="Y98" i="4"/>
  <c r="AJ57" i="5"/>
  <c r="Z98" i="4"/>
  <c r="AL57" i="5"/>
  <c r="L57" i="5"/>
  <c r="N57" i="5"/>
  <c r="O57" i="5"/>
  <c r="F57" i="5"/>
  <c r="H57" i="5"/>
  <c r="I57" i="5"/>
  <c r="Z57" i="5"/>
  <c r="AN57" i="5"/>
  <c r="AG58" i="5"/>
  <c r="AF58" i="5"/>
  <c r="C99" i="4"/>
  <c r="C58" i="5"/>
  <c r="D99" i="4"/>
  <c r="E58" i="5"/>
  <c r="H99" i="4"/>
  <c r="K58" i="5"/>
  <c r="I99" i="4"/>
  <c r="L58" i="5"/>
  <c r="J99" i="4"/>
  <c r="N58" i="5"/>
  <c r="O58" i="5"/>
  <c r="L99" i="4"/>
  <c r="Q58" i="5"/>
  <c r="M99" i="4"/>
  <c r="R58" i="5"/>
  <c r="N99" i="4"/>
  <c r="T58" i="5"/>
  <c r="O99" i="4"/>
  <c r="U58" i="5"/>
  <c r="P99" i="4"/>
  <c r="W58" i="5"/>
  <c r="Q99" i="4"/>
  <c r="X58" i="5"/>
  <c r="AA58" i="5"/>
  <c r="AI99" i="4"/>
  <c r="T99" i="4" a="1"/>
  <c r="T99" i="4"/>
  <c r="AC58" i="5"/>
  <c r="U99" i="4" a="1"/>
  <c r="U99" i="4"/>
  <c r="AD58" i="5"/>
  <c r="X99" i="4"/>
  <c r="AI58" i="5"/>
  <c r="Y99" i="4"/>
  <c r="AJ58" i="5"/>
  <c r="Z99" i="4"/>
  <c r="AL58" i="5"/>
  <c r="F58" i="5"/>
  <c r="H58" i="5"/>
  <c r="I58" i="5"/>
  <c r="Z58" i="5"/>
  <c r="AN58" i="5"/>
  <c r="AG59" i="5"/>
  <c r="AF59" i="5"/>
  <c r="C100" i="4"/>
  <c r="C59" i="5"/>
  <c r="D100" i="4"/>
  <c r="E59" i="5"/>
  <c r="H100" i="4"/>
  <c r="K59" i="5"/>
  <c r="L100" i="4"/>
  <c r="Q59" i="5"/>
  <c r="M100" i="4"/>
  <c r="R59" i="5"/>
  <c r="N100" i="4"/>
  <c r="T59" i="5"/>
  <c r="O100" i="4"/>
  <c r="U59" i="5"/>
  <c r="P100" i="4"/>
  <c r="W59" i="5"/>
  <c r="Q100" i="4"/>
  <c r="X59" i="5"/>
  <c r="AA59" i="5"/>
  <c r="AI100" i="4"/>
  <c r="T100" i="4" a="1"/>
  <c r="T100" i="4"/>
  <c r="AC59" i="5"/>
  <c r="U100" i="4" a="1"/>
  <c r="U100" i="4"/>
  <c r="AD59" i="5"/>
  <c r="X100" i="4"/>
  <c r="AI59" i="5"/>
  <c r="Y100" i="4"/>
  <c r="AJ59" i="5"/>
  <c r="Z100" i="4"/>
  <c r="AL59" i="5"/>
  <c r="L59" i="5"/>
  <c r="N59" i="5"/>
  <c r="O59" i="5"/>
  <c r="F59" i="5"/>
  <c r="H59" i="5"/>
  <c r="I59" i="5"/>
  <c r="Z59" i="5"/>
  <c r="AN59" i="5"/>
  <c r="AG60" i="5"/>
  <c r="AF60" i="5"/>
  <c r="C101" i="4"/>
  <c r="C60" i="5"/>
  <c r="T60" i="5"/>
  <c r="U60" i="5"/>
  <c r="P101" i="4"/>
  <c r="W60" i="5"/>
  <c r="Q101" i="4"/>
  <c r="X60" i="5"/>
  <c r="AA60" i="5"/>
  <c r="AI101" i="4"/>
  <c r="T101" i="4" a="1"/>
  <c r="T101" i="4"/>
  <c r="AC60" i="5"/>
  <c r="U101" i="4" a="1"/>
  <c r="U101" i="4"/>
  <c r="AD60" i="5"/>
  <c r="X101" i="4"/>
  <c r="AI60" i="5"/>
  <c r="Y101" i="4"/>
  <c r="AJ60" i="5"/>
  <c r="Z101" i="4"/>
  <c r="AL60" i="5"/>
  <c r="F60" i="5"/>
  <c r="H60" i="5"/>
  <c r="I60" i="5"/>
  <c r="Z60" i="5"/>
  <c r="AN60" i="5"/>
  <c r="F61" i="5"/>
  <c r="H61" i="5"/>
  <c r="I61" i="5"/>
  <c r="AG62" i="5"/>
  <c r="AF62" i="5"/>
  <c r="B102" i="4"/>
  <c r="C102" i="4"/>
  <c r="C62" i="5"/>
  <c r="D102" i="4"/>
  <c r="E62" i="5"/>
  <c r="H102" i="4"/>
  <c r="K62" i="5"/>
  <c r="L102" i="4"/>
  <c r="Q62" i="5"/>
  <c r="M102" i="4"/>
  <c r="R62" i="5"/>
  <c r="T62" i="5"/>
  <c r="U62" i="5"/>
  <c r="P102" i="4"/>
  <c r="W62" i="5"/>
  <c r="Q102" i="4"/>
  <c r="X62" i="5"/>
  <c r="AA62" i="5"/>
  <c r="AI102" i="4"/>
  <c r="T102" i="4" a="1"/>
  <c r="T102" i="4"/>
  <c r="AC62" i="5"/>
  <c r="U102" i="4" a="1"/>
  <c r="U102" i="4"/>
  <c r="AD62" i="5"/>
  <c r="AI62" i="5"/>
  <c r="Y102" i="4"/>
  <c r="AJ62" i="5"/>
  <c r="Z102" i="4"/>
  <c r="AL62" i="5"/>
  <c r="F62" i="5"/>
  <c r="H62" i="5"/>
  <c r="I62" i="5"/>
  <c r="L62" i="5"/>
  <c r="N62" i="5"/>
  <c r="O62" i="5"/>
  <c r="Z62" i="5"/>
  <c r="AN62" i="5"/>
  <c r="AG63" i="5"/>
  <c r="AF63" i="5"/>
  <c r="B103" i="4"/>
  <c r="C103" i="4"/>
  <c r="C63" i="5"/>
  <c r="D103" i="4"/>
  <c r="E63" i="5"/>
  <c r="H103" i="4"/>
  <c r="K63" i="5"/>
  <c r="L103" i="4"/>
  <c r="Q63" i="5"/>
  <c r="M103" i="4"/>
  <c r="R63" i="5"/>
  <c r="T63" i="5"/>
  <c r="U63" i="5"/>
  <c r="P103" i="4"/>
  <c r="W63" i="5"/>
  <c r="Q103" i="4"/>
  <c r="X63" i="5"/>
  <c r="AA63" i="5"/>
  <c r="AI103" i="4"/>
  <c r="T103" i="4" a="1"/>
  <c r="T103" i="4"/>
  <c r="AC63" i="5"/>
  <c r="U103" i="4" a="1"/>
  <c r="U103" i="4"/>
  <c r="AD63" i="5"/>
  <c r="Y103" i="4"/>
  <c r="AJ63" i="5"/>
  <c r="Z103" i="4"/>
  <c r="AL63" i="5"/>
  <c r="F63" i="5"/>
  <c r="H63" i="5"/>
  <c r="I63" i="5"/>
  <c r="L63" i="5"/>
  <c r="N63" i="5"/>
  <c r="O63" i="5"/>
  <c r="Z63" i="5"/>
  <c r="AN63" i="5"/>
  <c r="AG64" i="5"/>
  <c r="AF64" i="5"/>
  <c r="B104" i="4"/>
  <c r="C104" i="4"/>
  <c r="C64" i="5"/>
  <c r="D104" i="4"/>
  <c r="E64" i="5"/>
  <c r="H104" i="4"/>
  <c r="K64" i="5"/>
  <c r="L104" i="4"/>
  <c r="Q64" i="5"/>
  <c r="M104" i="4"/>
  <c r="R64" i="5"/>
  <c r="T64" i="5"/>
  <c r="U64" i="5"/>
  <c r="P104" i="4"/>
  <c r="W64" i="5"/>
  <c r="Q104" i="4"/>
  <c r="X64" i="5"/>
  <c r="AA64" i="5"/>
  <c r="AI104" i="4"/>
  <c r="T104" i="4" a="1"/>
  <c r="T104" i="4"/>
  <c r="AC64" i="5"/>
  <c r="U104" i="4" a="1"/>
  <c r="U104" i="4"/>
  <c r="AD64" i="5"/>
  <c r="Y104" i="4"/>
  <c r="AJ64" i="5"/>
  <c r="Z104" i="4"/>
  <c r="AL64" i="5"/>
  <c r="F64" i="5"/>
  <c r="H64" i="5"/>
  <c r="I64" i="5"/>
  <c r="L64" i="5"/>
  <c r="N64" i="5"/>
  <c r="O64" i="5"/>
  <c r="Z64" i="5"/>
  <c r="AN64" i="5"/>
  <c r="AG65" i="5"/>
  <c r="AF65" i="5"/>
  <c r="C105" i="4"/>
  <c r="C65" i="5"/>
  <c r="T65" i="5"/>
  <c r="U65" i="5"/>
  <c r="P105" i="4"/>
  <c r="W65" i="5"/>
  <c r="Q105" i="4"/>
  <c r="X65" i="5"/>
  <c r="AA65" i="5"/>
  <c r="AI105" i="4"/>
  <c r="T105" i="4" a="1"/>
  <c r="T105" i="4"/>
  <c r="AC65" i="5"/>
  <c r="U105" i="4" a="1"/>
  <c r="U105" i="4"/>
  <c r="AD65" i="5"/>
  <c r="X105" i="4"/>
  <c r="AI65" i="5"/>
  <c r="Y105" i="4"/>
  <c r="AJ65" i="5"/>
  <c r="Z105" i="4"/>
  <c r="AL65" i="5"/>
  <c r="F65" i="5"/>
  <c r="H65" i="5"/>
  <c r="I65" i="5"/>
  <c r="L65" i="5"/>
  <c r="N65" i="5"/>
  <c r="O65" i="5"/>
  <c r="Z65" i="5"/>
  <c r="AN65" i="5"/>
  <c r="AG66" i="5"/>
  <c r="AF66" i="5"/>
  <c r="C106" i="4"/>
  <c r="C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C107" i="4"/>
  <c r="C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108" i="4"/>
  <c r="C68" i="5"/>
  <c r="D108" i="4"/>
  <c r="E68" i="5"/>
  <c r="H108" i="4"/>
  <c r="K68" i="5"/>
  <c r="L108" i="4"/>
  <c r="Q68" i="5"/>
  <c r="M108" i="4"/>
  <c r="R68" i="5"/>
  <c r="T68" i="5"/>
  <c r="U68" i="5"/>
  <c r="P108" i="4"/>
  <c r="W68" i="5"/>
  <c r="Q108" i="4"/>
  <c r="X68" i="5"/>
  <c r="AA68" i="5"/>
  <c r="AI108" i="4"/>
  <c r="T108" i="4" a="1"/>
  <c r="T108" i="4"/>
  <c r="AC68" i="5"/>
  <c r="U108" i="4" a="1"/>
  <c r="U108" i="4"/>
  <c r="AD68" i="5"/>
  <c r="Y108" i="4"/>
  <c r="AJ68" i="5"/>
  <c r="Z108" i="4"/>
  <c r="AL68" i="5"/>
  <c r="F68" i="5"/>
  <c r="H68" i="5"/>
  <c r="I68" i="5"/>
  <c r="L68" i="5"/>
  <c r="N68" i="5"/>
  <c r="O68" i="5"/>
  <c r="Z68" i="5"/>
  <c r="AN68" i="5"/>
  <c r="AG69" i="5"/>
  <c r="AF69" i="5"/>
  <c r="C109" i="4"/>
  <c r="C69" i="5"/>
  <c r="D109" i="4"/>
  <c r="E69" i="5"/>
  <c r="H109" i="4"/>
  <c r="K69" i="5"/>
  <c r="I109" i="4"/>
  <c r="L69" i="5"/>
  <c r="J109" i="4"/>
  <c r="N69" i="5"/>
  <c r="O69" i="5"/>
  <c r="L109" i="4"/>
  <c r="Q69" i="5"/>
  <c r="M109" i="4"/>
  <c r="R69" i="5"/>
  <c r="N109" i="4"/>
  <c r="T69" i="5"/>
  <c r="O109" i="4"/>
  <c r="U69" i="5"/>
  <c r="P109" i="4"/>
  <c r="W69" i="5"/>
  <c r="Q109" i="4"/>
  <c r="X69" i="5"/>
  <c r="AA69" i="5"/>
  <c r="AI109" i="4"/>
  <c r="T109" i="4" a="1"/>
  <c r="T109" i="4"/>
  <c r="AC69" i="5"/>
  <c r="AD69" i="5"/>
  <c r="X109" i="4"/>
  <c r="AI69" i="5"/>
  <c r="Y109" i="4"/>
  <c r="AJ69" i="5"/>
  <c r="Z109" i="4"/>
  <c r="AL69" i="5"/>
  <c r="F69" i="5"/>
  <c r="H69" i="5"/>
  <c r="I69" i="5"/>
  <c r="Z69" i="5"/>
  <c r="AN69" i="5"/>
  <c r="AG70" i="5"/>
  <c r="AF70" i="5"/>
  <c r="C110" i="4"/>
  <c r="C70" i="5"/>
  <c r="D110" i="4"/>
  <c r="E70" i="5"/>
  <c r="H110" i="4"/>
  <c r="K70" i="5"/>
  <c r="L110" i="4"/>
  <c r="Q70" i="5"/>
  <c r="M110" i="4"/>
  <c r="R70" i="5"/>
  <c r="N110" i="4"/>
  <c r="T70" i="5"/>
  <c r="O110" i="4"/>
  <c r="U70" i="5"/>
  <c r="P110" i="4"/>
  <c r="W70" i="5"/>
  <c r="Q110" i="4"/>
  <c r="X70" i="5"/>
  <c r="AA70" i="5"/>
  <c r="AI110" i="4"/>
  <c r="T110" i="4" a="1"/>
  <c r="T110" i="4"/>
  <c r="AC70" i="5"/>
  <c r="U110" i="4" a="1"/>
  <c r="U110" i="4"/>
  <c r="AD70" i="5"/>
  <c r="Y110" i="4"/>
  <c r="AJ70" i="5"/>
  <c r="Z110" i="4"/>
  <c r="AL70" i="5"/>
  <c r="F70" i="5"/>
  <c r="H70" i="5"/>
  <c r="I70" i="5"/>
  <c r="L70" i="5"/>
  <c r="N70" i="5"/>
  <c r="O70" i="5"/>
  <c r="Z70" i="5"/>
  <c r="AN70" i="5"/>
  <c r="AG71" i="5"/>
  <c r="AF71" i="5"/>
  <c r="B111" i="4"/>
  <c r="C111" i="4"/>
  <c r="C71" i="5"/>
  <c r="D111" i="4"/>
  <c r="E71" i="5"/>
  <c r="H111" i="4"/>
  <c r="K71" i="5"/>
  <c r="L111" i="4"/>
  <c r="Q71" i="5"/>
  <c r="M111" i="4"/>
  <c r="R71" i="5"/>
  <c r="T71" i="5"/>
  <c r="U71" i="5"/>
  <c r="P111" i="4"/>
  <c r="W71" i="5"/>
  <c r="Q111" i="4"/>
  <c r="X71" i="5"/>
  <c r="AA71" i="5"/>
  <c r="AI111" i="4"/>
  <c r="T111" i="4" a="1"/>
  <c r="T111" i="4"/>
  <c r="AC71" i="5"/>
  <c r="U111" i="4" a="1"/>
  <c r="U111" i="4"/>
  <c r="AD71" i="5"/>
  <c r="Y111" i="4"/>
  <c r="AJ71" i="5"/>
  <c r="Z111" i="4"/>
  <c r="AL71" i="5"/>
  <c r="F71" i="5"/>
  <c r="H71" i="5"/>
  <c r="I71" i="5"/>
  <c r="L71" i="5"/>
  <c r="N71" i="5"/>
  <c r="O71" i="5"/>
  <c r="Z71" i="5"/>
  <c r="AN71" i="5"/>
  <c r="AG72" i="5"/>
  <c r="AF72" i="5"/>
  <c r="C112" i="4"/>
  <c r="C72" i="5"/>
  <c r="D112" i="4"/>
  <c r="E72" i="5"/>
  <c r="H112" i="4"/>
  <c r="K72" i="5"/>
  <c r="L112" i="4"/>
  <c r="Q72" i="5"/>
  <c r="M112" i="4"/>
  <c r="R72" i="5"/>
  <c r="T72" i="5"/>
  <c r="O112" i="4"/>
  <c r="U72" i="5"/>
  <c r="P112" i="4"/>
  <c r="W72" i="5"/>
  <c r="Q112" i="4"/>
  <c r="X72" i="5"/>
  <c r="S112" i="4"/>
  <c r="AA72" i="5"/>
  <c r="AI112" i="4"/>
  <c r="T112" i="4" a="1"/>
  <c r="T112" i="4"/>
  <c r="AC72" i="5"/>
  <c r="U112" i="4" a="1"/>
  <c r="U112" i="4"/>
  <c r="AD72" i="5"/>
  <c r="X112" i="4"/>
  <c r="AI72" i="5"/>
  <c r="Y112" i="4"/>
  <c r="AJ72" i="5"/>
  <c r="Z112" i="4"/>
  <c r="AL72" i="5"/>
  <c r="F72" i="5"/>
  <c r="H72" i="5"/>
  <c r="I72" i="5"/>
  <c r="L72" i="5"/>
  <c r="N72" i="5"/>
  <c r="O72" i="5"/>
  <c r="Z72" i="5"/>
  <c r="AN72" i="5"/>
  <c r="AG73" i="5"/>
  <c r="AF73" i="5"/>
  <c r="C114" i="4"/>
  <c r="C73" i="5"/>
  <c r="D114" i="4"/>
  <c r="E73" i="5"/>
  <c r="E114" i="4"/>
  <c r="F73" i="5"/>
  <c r="F114" i="4"/>
  <c r="H73" i="5"/>
  <c r="I73" i="5"/>
  <c r="H114" i="4"/>
  <c r="K73" i="5"/>
  <c r="L114" i="4"/>
  <c r="Q73" i="5"/>
  <c r="M114" i="4"/>
  <c r="R73" i="5"/>
  <c r="T73" i="5"/>
  <c r="U73" i="5"/>
  <c r="P114" i="4"/>
  <c r="W73" i="5"/>
  <c r="Q114" i="4"/>
  <c r="X73" i="5"/>
  <c r="S114" i="4"/>
  <c r="AA73" i="5"/>
  <c r="AI114" i="4"/>
  <c r="T114" i="4" a="1"/>
  <c r="T114" i="4"/>
  <c r="AC73" i="5"/>
  <c r="U114" i="4" a="1"/>
  <c r="U114" i="4"/>
  <c r="AD73" i="5"/>
  <c r="X114" i="4"/>
  <c r="AI73" i="5"/>
  <c r="Y114" i="4"/>
  <c r="AJ73" i="5"/>
  <c r="Z114" i="4"/>
  <c r="AL73" i="5"/>
  <c r="L73" i="5"/>
  <c r="N73" i="5"/>
  <c r="O73" i="5"/>
  <c r="Z73" i="5"/>
  <c r="AN73" i="5"/>
  <c r="AG74" i="5"/>
  <c r="AF74" i="5"/>
  <c r="C115" i="4"/>
  <c r="C74" i="5"/>
  <c r="D115" i="4"/>
  <c r="E74" i="5"/>
  <c r="H115" i="4"/>
  <c r="K74" i="5"/>
  <c r="L115" i="4"/>
  <c r="Q74" i="5"/>
  <c r="M115" i="4"/>
  <c r="R74" i="5"/>
  <c r="T74" i="5"/>
  <c r="U74" i="5"/>
  <c r="P115" i="4"/>
  <c r="W74" i="5"/>
  <c r="Q115" i="4"/>
  <c r="X74" i="5"/>
  <c r="S115" i="4"/>
  <c r="AA74" i="5"/>
  <c r="AI115" i="4"/>
  <c r="T115" i="4" a="1"/>
  <c r="T115" i="4"/>
  <c r="AC74" i="5"/>
  <c r="U115" i="4" a="1"/>
  <c r="U115" i="4"/>
  <c r="AD74" i="5"/>
  <c r="X115" i="4"/>
  <c r="AI74" i="5"/>
  <c r="Y115" i="4"/>
  <c r="AJ74" i="5"/>
  <c r="Z115" i="4"/>
  <c r="AL74" i="5"/>
  <c r="F74" i="5"/>
  <c r="H74" i="5"/>
  <c r="I74" i="5"/>
  <c r="L74" i="5"/>
  <c r="N74" i="5"/>
  <c r="O74" i="5"/>
  <c r="Z74" i="5"/>
  <c r="AN74" i="5"/>
  <c r="AG75" i="5"/>
  <c r="AF75" i="5"/>
  <c r="C116" i="4"/>
  <c r="C75" i="5"/>
  <c r="D116" i="4"/>
  <c r="E75" i="5"/>
  <c r="H116" i="4"/>
  <c r="K75" i="5"/>
  <c r="L116" i="4"/>
  <c r="Q75" i="5"/>
  <c r="R75" i="5"/>
  <c r="T75" i="5"/>
  <c r="O116" i="4"/>
  <c r="U75" i="5"/>
  <c r="P116" i="4"/>
  <c r="W75" i="5"/>
  <c r="Q116" i="4"/>
  <c r="X75" i="5"/>
  <c r="S116" i="4"/>
  <c r="AA75" i="5"/>
  <c r="AI116" i="4"/>
  <c r="T116" i="4" a="1"/>
  <c r="T116" i="4"/>
  <c r="AC75" i="5"/>
  <c r="U116" i="4" a="1"/>
  <c r="U116" i="4"/>
  <c r="AD75" i="5"/>
  <c r="X116" i="4"/>
  <c r="AI75" i="5"/>
  <c r="Y116" i="4"/>
  <c r="AJ75" i="5"/>
  <c r="Z116" i="4"/>
  <c r="AL75" i="5"/>
  <c r="F75" i="5"/>
  <c r="H75" i="5"/>
  <c r="I75" i="5"/>
  <c r="L75" i="5"/>
  <c r="N75" i="5"/>
  <c r="O75" i="5"/>
  <c r="Z75" i="5"/>
  <c r="AN75" i="5"/>
  <c r="AG76" i="5"/>
  <c r="AF76" i="5"/>
  <c r="B117" i="4"/>
  <c r="C117" i="4"/>
  <c r="C76" i="5"/>
  <c r="D117" i="4"/>
  <c r="E76" i="5"/>
  <c r="H117" i="4"/>
  <c r="K76" i="5"/>
  <c r="L117" i="4"/>
  <c r="Q76" i="5"/>
  <c r="M117" i="4"/>
  <c r="R76" i="5"/>
  <c r="T76" i="5"/>
  <c r="U76" i="5"/>
  <c r="P117" i="4"/>
  <c r="W76" i="5"/>
  <c r="Q117" i="4"/>
  <c r="X76" i="5"/>
  <c r="S117" i="4"/>
  <c r="AA76" i="5"/>
  <c r="AI117" i="4"/>
  <c r="T117" i="4" a="1"/>
  <c r="T117" i="4"/>
  <c r="AC76" i="5"/>
  <c r="U117" i="4" a="1"/>
  <c r="U117" i="4"/>
  <c r="AD76" i="5"/>
  <c r="X117" i="4"/>
  <c r="AI76" i="5"/>
  <c r="Y117" i="4"/>
  <c r="AJ76" i="5"/>
  <c r="Z117" i="4"/>
  <c r="AL76" i="5"/>
  <c r="F76" i="5"/>
  <c r="H76" i="5"/>
  <c r="I76" i="5"/>
  <c r="L76" i="5"/>
  <c r="N76" i="5"/>
  <c r="O76" i="5"/>
  <c r="Z76" i="5"/>
  <c r="AN76" i="5"/>
  <c r="AG77" i="5"/>
  <c r="AF77" i="5"/>
  <c r="C118" i="4"/>
  <c r="C77" i="5"/>
  <c r="D118" i="4"/>
  <c r="E77" i="5"/>
  <c r="E118" i="4"/>
  <c r="F77" i="5"/>
  <c r="F118" i="4"/>
  <c r="H77" i="5"/>
  <c r="I77" i="5"/>
  <c r="H118" i="4"/>
  <c r="K77" i="5"/>
  <c r="L118" i="4"/>
  <c r="Q77" i="5"/>
  <c r="M118" i="4"/>
  <c r="R77" i="5"/>
  <c r="T77" i="5"/>
  <c r="U77" i="5"/>
  <c r="P118" i="4"/>
  <c r="W77" i="5"/>
  <c r="Q118" i="4"/>
  <c r="X77" i="5"/>
  <c r="AA77" i="5"/>
  <c r="AI118" i="4"/>
  <c r="T118" i="4" a="1"/>
  <c r="T118" i="4"/>
  <c r="AC77" i="5"/>
  <c r="AD77" i="5"/>
  <c r="X118" i="4"/>
  <c r="AI77" i="5"/>
  <c r="Y118" i="4"/>
  <c r="AJ77" i="5"/>
  <c r="Z118" i="4"/>
  <c r="AL77" i="5"/>
  <c r="L77" i="5"/>
  <c r="N77" i="5"/>
  <c r="O77" i="5"/>
  <c r="Z77" i="5"/>
  <c r="AN77" i="5"/>
  <c r="AG78" i="5"/>
  <c r="AF78" i="5"/>
  <c r="C119" i="4"/>
  <c r="C78" i="5"/>
  <c r="T78" i="5"/>
  <c r="U78" i="5"/>
  <c r="P119" i="4"/>
  <c r="W78" i="5"/>
  <c r="Q119" i="4"/>
  <c r="X78" i="5"/>
  <c r="S119" i="4"/>
  <c r="AA78" i="5"/>
  <c r="X119" i="4"/>
  <c r="AI78" i="5"/>
  <c r="Y119" i="4"/>
  <c r="AJ78" i="5"/>
  <c r="Z119" i="4"/>
  <c r="AL78" i="5"/>
  <c r="Z78" i="5"/>
  <c r="AN78" i="5"/>
  <c r="AG79" i="5"/>
  <c r="AF79" i="5"/>
  <c r="B120" i="4"/>
  <c r="C120" i="4"/>
  <c r="C79" i="5"/>
  <c r="D120" i="4"/>
  <c r="E79" i="5"/>
  <c r="E120" i="4"/>
  <c r="F79" i="5"/>
  <c r="F120" i="4"/>
  <c r="H79" i="5"/>
  <c r="I79" i="5"/>
  <c r="H120" i="4"/>
  <c r="K79" i="5"/>
  <c r="L120" i="4"/>
  <c r="Q79" i="5"/>
  <c r="M120" i="4"/>
  <c r="R79" i="5"/>
  <c r="T79" i="5"/>
  <c r="U79" i="5"/>
  <c r="P120" i="4"/>
  <c r="W79" i="5"/>
  <c r="Q120" i="4"/>
  <c r="X79" i="5"/>
  <c r="S120" i="4"/>
  <c r="AA79" i="5"/>
  <c r="AI120" i="4"/>
  <c r="T120" i="4" a="1"/>
  <c r="T120" i="4"/>
  <c r="AC79" i="5"/>
  <c r="AD79" i="5"/>
  <c r="X120" i="4"/>
  <c r="AI79" i="5"/>
  <c r="Y120" i="4"/>
  <c r="AJ79" i="5"/>
  <c r="Z120" i="4"/>
  <c r="AL79" i="5"/>
  <c r="L79" i="5"/>
  <c r="N79" i="5"/>
  <c r="O79" i="5"/>
  <c r="Z79" i="5"/>
  <c r="AN79" i="5"/>
  <c r="AG80" i="5"/>
  <c r="AF80" i="5"/>
  <c r="C121" i="4"/>
  <c r="C80" i="5"/>
  <c r="D121" i="4"/>
  <c r="E80" i="5"/>
  <c r="H121" i="4"/>
  <c r="K80" i="5"/>
  <c r="L121" i="4"/>
  <c r="Q80" i="5"/>
  <c r="M121" i="4"/>
  <c r="R80" i="5"/>
  <c r="T80" i="5"/>
  <c r="O121" i="4"/>
  <c r="U80" i="5"/>
  <c r="P121" i="4"/>
  <c r="W80" i="5"/>
  <c r="Q121" i="4"/>
  <c r="X80" i="5"/>
  <c r="S121" i="4"/>
  <c r="AA80" i="5"/>
  <c r="AI121" i="4"/>
  <c r="T121" i="4" a="1"/>
  <c r="T121" i="4"/>
  <c r="AC80" i="5"/>
  <c r="U121" i="4" a="1"/>
  <c r="U121" i="4"/>
  <c r="AD80" i="5"/>
  <c r="X121" i="4"/>
  <c r="AI80" i="5"/>
  <c r="Y121" i="4"/>
  <c r="AJ80" i="5"/>
  <c r="Z121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C122" i="4"/>
  <c r="C87" i="5"/>
  <c r="T87" i="5"/>
  <c r="O122" i="4"/>
  <c r="U87" i="5"/>
  <c r="P122" i="4"/>
  <c r="W87" i="5"/>
  <c r="Q122" i="4"/>
  <c r="X87" i="5"/>
  <c r="S122" i="4"/>
  <c r="AA87" i="5"/>
  <c r="AI122" i="4"/>
  <c r="T122" i="4" a="1"/>
  <c r="T122" i="4"/>
  <c r="AC87" i="5"/>
  <c r="U122" i="4" a="1"/>
  <c r="U122" i="4"/>
  <c r="AD87" i="5"/>
  <c r="X122" i="4"/>
  <c r="AI87" i="5"/>
  <c r="Y122" i="4"/>
  <c r="AJ87" i="5"/>
  <c r="Z122" i="4"/>
  <c r="AL87" i="5"/>
  <c r="L87" i="5"/>
  <c r="N87" i="5"/>
  <c r="O87" i="5"/>
  <c r="Z87" i="5"/>
  <c r="AN87" i="5"/>
  <c r="AG88" i="5"/>
  <c r="AF88" i="5"/>
  <c r="C123" i="4"/>
  <c r="C88" i="5"/>
  <c r="T88" i="5"/>
  <c r="O123" i="4"/>
  <c r="U88" i="5"/>
  <c r="P123" i="4"/>
  <c r="W88" i="5"/>
  <c r="Q123" i="4"/>
  <c r="X88" i="5"/>
  <c r="S123" i="4"/>
  <c r="AA88" i="5"/>
  <c r="AI123" i="4"/>
  <c r="T123" i="4" a="1"/>
  <c r="T123" i="4"/>
  <c r="AC88" i="5"/>
  <c r="U123" i="4" a="1"/>
  <c r="U123" i="4"/>
  <c r="AD88" i="5"/>
  <c r="X123" i="4"/>
  <c r="AI88" i="5"/>
  <c r="Y123" i="4"/>
  <c r="AJ88" i="5"/>
  <c r="Z123" i="4"/>
  <c r="AL88" i="5"/>
  <c r="L88" i="5"/>
  <c r="N88" i="5"/>
  <c r="O88" i="5"/>
  <c r="Z88" i="5"/>
  <c r="AN88" i="5"/>
  <c r="AG89" i="5"/>
  <c r="AF89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I124" i="4"/>
  <c r="T124" i="4" a="1"/>
  <c r="T124" i="4"/>
  <c r="AC89" i="5"/>
  <c r="U124" i="4" a="1"/>
  <c r="U124" i="4"/>
  <c r="AD89" i="5"/>
  <c r="X124" i="4"/>
  <c r="AI89" i="5"/>
  <c r="Y124" i="4"/>
  <c r="AJ89" i="5"/>
  <c r="Z124" i="4"/>
  <c r="AL89" i="5"/>
  <c r="L89" i="5"/>
  <c r="N89" i="5"/>
  <c r="O89" i="5"/>
  <c r="Z89" i="5"/>
  <c r="AN89" i="5"/>
  <c r="B44" i="4"/>
  <c r="S44" i="4"/>
  <c r="AA90" i="5"/>
  <c r="P44" i="4"/>
  <c r="W90" i="5"/>
  <c r="K44" i="4"/>
  <c r="O90" i="5"/>
  <c r="H44" i="4"/>
  <c r="K90" i="5"/>
  <c r="W44" i="4"/>
  <c r="AG90" i="5"/>
  <c r="V44" i="4"/>
  <c r="AF90" i="5"/>
  <c r="C44" i="4"/>
  <c r="C90" i="5"/>
  <c r="D44" i="4"/>
  <c r="E90" i="5"/>
  <c r="G44" i="4"/>
  <c r="I90" i="5"/>
  <c r="I44" i="4"/>
  <c r="L90" i="5"/>
  <c r="J44" i="4"/>
  <c r="N90" i="5"/>
  <c r="L44" i="4"/>
  <c r="Q90" i="5"/>
  <c r="O44" i="4"/>
  <c r="U90" i="5"/>
  <c r="Q44" i="4"/>
  <c r="X90" i="5"/>
  <c r="R44" i="4"/>
  <c r="Z90" i="5"/>
  <c r="AI44" i="4"/>
  <c r="T44" i="4" a="1"/>
  <c r="T44" i="4"/>
  <c r="AC90" i="5"/>
  <c r="U44" i="4" a="1"/>
  <c r="U44" i="4"/>
  <c r="AD90" i="5"/>
  <c r="X44" i="4"/>
  <c r="AI90" i="5"/>
  <c r="Y44" i="4"/>
  <c r="AJ90" i="5"/>
  <c r="Z44" i="4"/>
  <c r="AL90" i="5"/>
  <c r="R90" i="5"/>
  <c r="T90" i="5"/>
  <c r="F90" i="5"/>
  <c r="H90" i="5"/>
  <c r="AN90" i="5"/>
  <c r="S45" i="4"/>
  <c r="AA91" i="5"/>
  <c r="P45" i="4"/>
  <c r="W91" i="5"/>
  <c r="AG91" i="5"/>
  <c r="AF91" i="5"/>
  <c r="C45" i="4"/>
  <c r="C91" i="5"/>
  <c r="O45" i="4"/>
  <c r="U91" i="5"/>
  <c r="Q45" i="4"/>
  <c r="X91" i="5"/>
  <c r="R45" i="4"/>
  <c r="Z91" i="5"/>
  <c r="X45" i="4"/>
  <c r="AI91" i="5"/>
  <c r="Y45" i="4"/>
  <c r="AJ91" i="5"/>
  <c r="Z45" i="4"/>
  <c r="AL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B32" i="4"/>
  <c r="C32" i="4"/>
  <c r="C93" i="5"/>
  <c r="D32" i="4"/>
  <c r="E93" i="5"/>
  <c r="K93" i="5"/>
  <c r="L32" i="4"/>
  <c r="Q93" i="5"/>
  <c r="M32" i="4"/>
  <c r="R93" i="5"/>
  <c r="T93" i="5"/>
  <c r="U93" i="5"/>
  <c r="P32" i="4"/>
  <c r="W93" i="5"/>
  <c r="Q32" i="4"/>
  <c r="X93" i="5"/>
  <c r="S32" i="4"/>
  <c r="AA93" i="5"/>
  <c r="AI32" i="4"/>
  <c r="T32" i="4" a="1"/>
  <c r="T32" i="4"/>
  <c r="AC93" i="5"/>
  <c r="U32" i="4" a="1"/>
  <c r="U32" i="4"/>
  <c r="AD93" i="5"/>
  <c r="X32" i="4"/>
  <c r="AI93" i="5"/>
  <c r="Y32" i="4"/>
  <c r="AJ93" i="5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47" i="4"/>
  <c r="C47" i="4"/>
  <c r="C99" i="5"/>
  <c r="D47" i="4"/>
  <c r="E99" i="5"/>
  <c r="K99" i="5"/>
  <c r="L47" i="4"/>
  <c r="Q99" i="5"/>
  <c r="M47" i="4"/>
  <c r="R99" i="5"/>
  <c r="T99" i="5"/>
  <c r="U99" i="5"/>
  <c r="P47" i="4"/>
  <c r="W99" i="5"/>
  <c r="Q47" i="4"/>
  <c r="X99" i="5"/>
  <c r="AA99" i="5"/>
  <c r="AI47" i="4"/>
  <c r="T47" i="4" a="1"/>
  <c r="T47" i="4"/>
  <c r="AC99" i="5"/>
  <c r="U47" i="4" a="1"/>
  <c r="U47" i="4"/>
  <c r="AD99" i="5"/>
  <c r="Y47" i="4"/>
  <c r="AJ99" i="5"/>
  <c r="Z47" i="4"/>
  <c r="AL99" i="5"/>
  <c r="F99" i="5"/>
  <c r="H99" i="5"/>
  <c r="I99" i="5"/>
  <c r="L99" i="5"/>
  <c r="N99" i="5"/>
  <c r="O99" i="5"/>
  <c r="Z99" i="5"/>
  <c r="AN99" i="5"/>
  <c r="AG100" i="5"/>
  <c r="AF100" i="5"/>
  <c r="B284" i="4"/>
  <c r="C284" i="4"/>
  <c r="C100" i="5"/>
  <c r="D284" i="4"/>
  <c r="E100" i="5"/>
  <c r="K100" i="5"/>
  <c r="L284" i="4"/>
  <c r="Q100" i="5"/>
  <c r="M284" i="4"/>
  <c r="R100" i="5"/>
  <c r="T100" i="5"/>
  <c r="O284" i="4"/>
  <c r="U100" i="5"/>
  <c r="P284" i="4"/>
  <c r="W100" i="5"/>
  <c r="Q284" i="4"/>
  <c r="X100" i="5"/>
  <c r="S284" i="4"/>
  <c r="AA100" i="5"/>
  <c r="AI284" i="4"/>
  <c r="T284" i="4" a="1"/>
  <c r="T284" i="4"/>
  <c r="AC100" i="5"/>
  <c r="U284" i="4" a="1"/>
  <c r="U284" i="4"/>
  <c r="AD100" i="5"/>
  <c r="X284" i="4"/>
  <c r="AI100" i="5"/>
  <c r="Y284" i="4"/>
  <c r="AJ100" i="5"/>
  <c r="Z284" i="4"/>
  <c r="AL100" i="5"/>
  <c r="F100" i="5"/>
  <c r="I100" i="5"/>
  <c r="L100" i="5"/>
  <c r="N100" i="5"/>
  <c r="O100" i="5"/>
  <c r="Z100" i="5"/>
  <c r="AN100" i="5"/>
  <c r="AG101" i="5"/>
  <c r="AF101" i="5"/>
  <c r="B126" i="4"/>
  <c r="C126" i="4"/>
  <c r="C101" i="5"/>
  <c r="D126" i="4"/>
  <c r="E101" i="5"/>
  <c r="H126" i="4"/>
  <c r="K101" i="5"/>
  <c r="L126" i="4"/>
  <c r="Q101" i="5"/>
  <c r="M126" i="4"/>
  <c r="R101" i="5"/>
  <c r="N126" i="4"/>
  <c r="T101" i="5"/>
  <c r="O126" i="4"/>
  <c r="U101" i="5"/>
  <c r="P126" i="4"/>
  <c r="W101" i="5"/>
  <c r="Q126" i="4"/>
  <c r="X101" i="5"/>
  <c r="S126" i="4"/>
  <c r="AA101" i="5"/>
  <c r="AI126" i="4"/>
  <c r="T126" i="4" a="1"/>
  <c r="T126" i="4"/>
  <c r="AC101" i="5"/>
  <c r="U126" i="4" a="1"/>
  <c r="U126" i="4"/>
  <c r="AD101" i="5"/>
  <c r="X126" i="4"/>
  <c r="AI101" i="5"/>
  <c r="Y126" i="4"/>
  <c r="AJ101" i="5"/>
  <c r="Z126" i="4"/>
  <c r="AL101" i="5"/>
  <c r="F101" i="5"/>
  <c r="I101" i="5"/>
  <c r="L101" i="5"/>
  <c r="N101" i="5"/>
  <c r="O101" i="5"/>
  <c r="Z101" i="5"/>
  <c r="AN101" i="5"/>
  <c r="O102" i="5"/>
  <c r="H133" i="4"/>
  <c r="K102" i="5"/>
  <c r="AG102" i="5"/>
  <c r="AF102" i="5"/>
  <c r="C133" i="4"/>
  <c r="C102" i="5"/>
  <c r="D133" i="4"/>
  <c r="E102" i="5"/>
  <c r="I133" i="4"/>
  <c r="L102" i="5"/>
  <c r="J133" i="4"/>
  <c r="N102" i="5"/>
  <c r="L133" i="4"/>
  <c r="Q102" i="5"/>
  <c r="M133" i="4"/>
  <c r="R102" i="5"/>
  <c r="T102" i="5"/>
  <c r="U102" i="5"/>
  <c r="P133" i="4"/>
  <c r="W102" i="5"/>
  <c r="Q133" i="4"/>
  <c r="X102" i="5"/>
  <c r="S133" i="4"/>
  <c r="AA102" i="5"/>
  <c r="AI133" i="4"/>
  <c r="T133" i="4" a="1"/>
  <c r="T133" i="4"/>
  <c r="AC102" i="5"/>
  <c r="U133" i="4" a="1"/>
  <c r="U133" i="4"/>
  <c r="AD102" i="5"/>
  <c r="X133" i="4"/>
  <c r="AI102" i="5"/>
  <c r="Y133" i="4"/>
  <c r="AJ102" i="5"/>
  <c r="Z133" i="4"/>
  <c r="AL102" i="5"/>
  <c r="H102" i="5"/>
  <c r="I102" i="5"/>
  <c r="F102" i="5"/>
  <c r="Z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N127" i="4"/>
  <c r="T103" i="5"/>
  <c r="O127" i="4"/>
  <c r="U103" i="5"/>
  <c r="P127" i="4"/>
  <c r="W103" i="5"/>
  <c r="Q127" i="4"/>
  <c r="X103" i="5"/>
  <c r="S127" i="4"/>
  <c r="AA103" i="5"/>
  <c r="AI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L103" i="5"/>
  <c r="N103" i="5"/>
  <c r="O103" i="5"/>
  <c r="Z103" i="5"/>
  <c r="AN103" i="5"/>
  <c r="AG104" i="5"/>
  <c r="AF104" i="5"/>
  <c r="B128" i="4"/>
  <c r="C128" i="4"/>
  <c r="C104" i="5"/>
  <c r="D128" i="4"/>
  <c r="E104" i="5"/>
  <c r="E128" i="4"/>
  <c r="F104" i="5"/>
  <c r="F128" i="4"/>
  <c r="H104" i="5"/>
  <c r="I104" i="5"/>
  <c r="H128" i="4"/>
  <c r="K104" i="5"/>
  <c r="L128" i="4"/>
  <c r="Q104" i="5"/>
  <c r="M128" i="4"/>
  <c r="R104" i="5"/>
  <c r="T104" i="5"/>
  <c r="O128" i="4"/>
  <c r="U104" i="5"/>
  <c r="P128" i="4"/>
  <c r="W104" i="5"/>
  <c r="Q128" i="4"/>
  <c r="X104" i="5"/>
  <c r="S128" i="4"/>
  <c r="AA104" i="5"/>
  <c r="AI128" i="4"/>
  <c r="T128" i="4" a="1"/>
  <c r="T128" i="4"/>
  <c r="AC104" i="5"/>
  <c r="U128" i="4" a="1"/>
  <c r="U128" i="4"/>
  <c r="AD104" i="5"/>
  <c r="X128" i="4"/>
  <c r="AI104" i="5"/>
  <c r="Y128" i="4"/>
  <c r="AJ104" i="5"/>
  <c r="Z128" i="4"/>
  <c r="AL104" i="5"/>
  <c r="L104" i="5"/>
  <c r="N104" i="5"/>
  <c r="O104" i="5"/>
  <c r="Z104" i="5"/>
  <c r="AN104" i="5"/>
  <c r="AG105" i="5"/>
  <c r="AF105" i="5"/>
  <c r="B129" i="4"/>
  <c r="C129" i="4"/>
  <c r="C105" i="5"/>
  <c r="D129" i="4"/>
  <c r="E105" i="5"/>
  <c r="E129" i="4"/>
  <c r="F105" i="5"/>
  <c r="F129" i="4"/>
  <c r="H105" i="5"/>
  <c r="I105" i="5"/>
  <c r="H129" i="4"/>
  <c r="K105" i="5"/>
  <c r="L129" i="4"/>
  <c r="Q105" i="5"/>
  <c r="M129" i="4"/>
  <c r="R105" i="5"/>
  <c r="T105" i="5"/>
  <c r="O129" i="4"/>
  <c r="U105" i="5"/>
  <c r="P129" i="4"/>
  <c r="W105" i="5"/>
  <c r="Q129" i="4"/>
  <c r="X105" i="5"/>
  <c r="S129" i="4"/>
  <c r="AA105" i="5"/>
  <c r="AI129" i="4"/>
  <c r="T129" i="4" a="1"/>
  <c r="T129" i="4"/>
  <c r="AC105" i="5"/>
  <c r="U129" i="4" a="1"/>
  <c r="U129" i="4"/>
  <c r="AD105" i="5"/>
  <c r="X129" i="4"/>
  <c r="AI105" i="5"/>
  <c r="Y129" i="4"/>
  <c r="AJ105" i="5"/>
  <c r="Z129" i="4"/>
  <c r="AL105" i="5"/>
  <c r="L105" i="5"/>
  <c r="N105" i="5"/>
  <c r="O105" i="5"/>
  <c r="Z105" i="5"/>
  <c r="AN105" i="5"/>
  <c r="AG106" i="5"/>
  <c r="AF106" i="5"/>
  <c r="C48" i="4"/>
  <c r="C106" i="5"/>
  <c r="D48" i="4"/>
  <c r="E106" i="5"/>
  <c r="E48" i="4"/>
  <c r="F106" i="5"/>
  <c r="F48" i="4"/>
  <c r="H106" i="5"/>
  <c r="I106" i="5"/>
  <c r="K106" i="5"/>
  <c r="L48" i="4"/>
  <c r="Q106" i="5"/>
  <c r="M48" i="4"/>
  <c r="R106" i="5"/>
  <c r="T106" i="5"/>
  <c r="O48" i="4"/>
  <c r="U106" i="5"/>
  <c r="P48" i="4"/>
  <c r="W106" i="5"/>
  <c r="Q48" i="4"/>
  <c r="X106" i="5"/>
  <c r="S48" i="4"/>
  <c r="AA106" i="5"/>
  <c r="AI48" i="4"/>
  <c r="T48" i="4" a="1"/>
  <c r="T48" i="4"/>
  <c r="AC106" i="5"/>
  <c r="U48" i="4" a="1"/>
  <c r="U48" i="4"/>
  <c r="AD106" i="5"/>
  <c r="X48" i="4"/>
  <c r="AI106" i="5"/>
  <c r="Y48" i="4"/>
  <c r="AJ106" i="5"/>
  <c r="Z48" i="4"/>
  <c r="AL106" i="5"/>
  <c r="L106" i="5"/>
  <c r="N106" i="5"/>
  <c r="O106" i="5"/>
  <c r="Z106" i="5"/>
  <c r="AN106" i="5"/>
  <c r="AG107" i="5"/>
  <c r="AF107" i="5"/>
  <c r="B130" i="4"/>
  <c r="C130" i="4"/>
  <c r="C107" i="5"/>
  <c r="D130" i="4"/>
  <c r="E107" i="5"/>
  <c r="E130" i="4"/>
  <c r="F107" i="5"/>
  <c r="F130" i="4"/>
  <c r="H107" i="5"/>
  <c r="I107" i="5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I130" i="4"/>
  <c r="T130" i="4" a="1"/>
  <c r="T130" i="4"/>
  <c r="AC107" i="5"/>
  <c r="U130" i="4" a="1"/>
  <c r="U130" i="4"/>
  <c r="AD107" i="5"/>
  <c r="X130" i="4"/>
  <c r="AI107" i="5"/>
  <c r="Y130" i="4"/>
  <c r="AJ107" i="5"/>
  <c r="Z130" i="4"/>
  <c r="AL107" i="5"/>
  <c r="L107" i="5"/>
  <c r="N107" i="5"/>
  <c r="O107" i="5"/>
  <c r="Z107" i="5"/>
  <c r="AN107" i="5"/>
  <c r="AG108" i="5"/>
  <c r="AF108" i="5"/>
  <c r="C131" i="4"/>
  <c r="C108" i="5"/>
  <c r="T108" i="5"/>
  <c r="U108" i="5"/>
  <c r="P131" i="4"/>
  <c r="W108" i="5"/>
  <c r="Q131" i="4"/>
  <c r="X108" i="5"/>
  <c r="S131" i="4"/>
  <c r="AA108" i="5"/>
  <c r="AI108" i="5"/>
  <c r="Y131" i="4"/>
  <c r="AJ108" i="5"/>
  <c r="Z131" i="4"/>
  <c r="AL108" i="5"/>
  <c r="L108" i="5"/>
  <c r="N108" i="5"/>
  <c r="O108" i="5"/>
  <c r="Z108" i="5"/>
  <c r="AN108" i="5"/>
  <c r="AG109" i="5"/>
  <c r="AF109" i="5"/>
  <c r="C132" i="4"/>
  <c r="C109" i="5"/>
  <c r="D132" i="4"/>
  <c r="E109" i="5"/>
  <c r="E132" i="4"/>
  <c r="F109" i="5"/>
  <c r="F132" i="4"/>
  <c r="H109" i="5"/>
  <c r="I109" i="5"/>
  <c r="H132" i="4"/>
  <c r="K109" i="5"/>
  <c r="L132" i="4"/>
  <c r="Q109" i="5"/>
  <c r="M132" i="4"/>
  <c r="R109" i="5"/>
  <c r="T109" i="5"/>
  <c r="U109" i="5"/>
  <c r="P132" i="4"/>
  <c r="W109" i="5"/>
  <c r="Q132" i="4"/>
  <c r="X109" i="5"/>
  <c r="S132" i="4"/>
  <c r="AA109" i="5"/>
  <c r="AI132" i="4"/>
  <c r="T132" i="4" a="1"/>
  <c r="T132" i="4"/>
  <c r="AC109" i="5"/>
  <c r="U132" i="4" a="1"/>
  <c r="U132" i="4"/>
  <c r="AD109" i="5"/>
  <c r="AI109" i="5"/>
  <c r="Y132" i="4"/>
  <c r="AJ109" i="5"/>
  <c r="Z132" i="4"/>
  <c r="AL109" i="5"/>
  <c r="L109" i="5"/>
  <c r="N109" i="5"/>
  <c r="O109" i="5"/>
  <c r="Z109" i="5"/>
  <c r="AN109" i="5"/>
  <c r="AG110" i="5"/>
  <c r="AF110" i="5"/>
  <c r="B293" i="4"/>
  <c r="C293" i="4"/>
  <c r="C110" i="5"/>
  <c r="D293" i="4"/>
  <c r="E110" i="5"/>
  <c r="H293" i="4"/>
  <c r="K110" i="5"/>
  <c r="L293" i="4"/>
  <c r="Q110" i="5"/>
  <c r="M293" i="4"/>
  <c r="R110" i="5"/>
  <c r="T110" i="5"/>
  <c r="O293" i="4"/>
  <c r="U110" i="5"/>
  <c r="P293" i="4"/>
  <c r="W110" i="5"/>
  <c r="Q293" i="4"/>
  <c r="X110" i="5"/>
  <c r="S293" i="4"/>
  <c r="AA110" i="5"/>
  <c r="AI293" i="4"/>
  <c r="T293" i="4" a="1"/>
  <c r="T293" i="4"/>
  <c r="AC110" i="5"/>
  <c r="U293" i="4" a="1"/>
  <c r="U293" i="4"/>
  <c r="AD110" i="5"/>
  <c r="X293" i="4"/>
  <c r="AI110" i="5"/>
  <c r="Y293" i="4"/>
  <c r="AJ110" i="5"/>
  <c r="Z293" i="4"/>
  <c r="AL110" i="5"/>
  <c r="F110" i="5"/>
  <c r="H110" i="5"/>
  <c r="I110" i="5"/>
  <c r="L110" i="5"/>
  <c r="N110" i="5"/>
  <c r="O110" i="5"/>
  <c r="Z110" i="5"/>
  <c r="AN110" i="5"/>
  <c r="AG111" i="5"/>
  <c r="AF111" i="5"/>
  <c r="C134" i="4"/>
  <c r="C111" i="5"/>
  <c r="D134" i="4"/>
  <c r="E111" i="5"/>
  <c r="E134" i="4"/>
  <c r="F111" i="5"/>
  <c r="F134" i="4"/>
  <c r="H111" i="5"/>
  <c r="I111" i="5"/>
  <c r="H134" i="4"/>
  <c r="K111" i="5"/>
  <c r="L134" i="4"/>
  <c r="Q111" i="5"/>
  <c r="M134" i="4"/>
  <c r="R111" i="5"/>
  <c r="T111" i="5"/>
  <c r="O134" i="4"/>
  <c r="U111" i="5"/>
  <c r="P134" i="4"/>
  <c r="W111" i="5"/>
  <c r="Q134" i="4"/>
  <c r="X111" i="5"/>
  <c r="S134" i="4"/>
  <c r="AA111" i="5"/>
  <c r="AI134" i="4"/>
  <c r="T134" i="4" a="1"/>
  <c r="T134" i="4"/>
  <c r="AC111" i="5"/>
  <c r="U134" i="4" a="1"/>
  <c r="U134" i="4"/>
  <c r="AD111" i="5"/>
  <c r="X134" i="4"/>
  <c r="AI111" i="5"/>
  <c r="Y134" i="4"/>
  <c r="AJ111" i="5"/>
  <c r="Z134" i="4"/>
  <c r="AL111" i="5"/>
  <c r="L111" i="5"/>
  <c r="N111" i="5"/>
  <c r="O111" i="5"/>
  <c r="Z111" i="5"/>
  <c r="AN111" i="5"/>
  <c r="AG112" i="5"/>
  <c r="AF112" i="5"/>
  <c r="C135" i="4"/>
  <c r="C112" i="5"/>
  <c r="D135" i="4"/>
  <c r="E112" i="5"/>
  <c r="H135" i="4"/>
  <c r="K112" i="5"/>
  <c r="L135" i="4"/>
  <c r="Q112" i="5"/>
  <c r="M135" i="4"/>
  <c r="R112" i="5"/>
  <c r="T112" i="5"/>
  <c r="O135" i="4"/>
  <c r="U112" i="5"/>
  <c r="P135" i="4"/>
  <c r="W112" i="5"/>
  <c r="Q135" i="4"/>
  <c r="X112" i="5"/>
  <c r="S135" i="4"/>
  <c r="AA112" i="5"/>
  <c r="AI135" i="4"/>
  <c r="T135" i="4" a="1"/>
  <c r="T135" i="4"/>
  <c r="AC112" i="5"/>
  <c r="U135" i="4" a="1"/>
  <c r="U135" i="4"/>
  <c r="AD112" i="5"/>
  <c r="X135" i="4"/>
  <c r="AI112" i="5"/>
  <c r="Y135" i="4"/>
  <c r="AJ112" i="5"/>
  <c r="Z135" i="4"/>
  <c r="AL112" i="5"/>
  <c r="F112" i="5"/>
  <c r="H112" i="5"/>
  <c r="I112" i="5"/>
  <c r="L112" i="5"/>
  <c r="N112" i="5"/>
  <c r="O112" i="5"/>
  <c r="Z112" i="5"/>
  <c r="AN112" i="5"/>
  <c r="AG113" i="5"/>
  <c r="AF113" i="5"/>
  <c r="C136" i="4"/>
  <c r="C113" i="5"/>
  <c r="D136" i="4"/>
  <c r="E113" i="5"/>
  <c r="H136" i="4"/>
  <c r="K113" i="5"/>
  <c r="L136" i="4"/>
  <c r="Q113" i="5"/>
  <c r="M136" i="4"/>
  <c r="R113" i="5"/>
  <c r="T113" i="5"/>
  <c r="O136" i="4"/>
  <c r="U113" i="5"/>
  <c r="P136" i="4"/>
  <c r="W113" i="5"/>
  <c r="Q136" i="4"/>
  <c r="X113" i="5"/>
  <c r="S136" i="4"/>
  <c r="AA113" i="5"/>
  <c r="AI136" i="4"/>
  <c r="T136" i="4" a="1"/>
  <c r="T136" i="4"/>
  <c r="AC113" i="5"/>
  <c r="U136" i="4" a="1"/>
  <c r="U136" i="4"/>
  <c r="AD113" i="5"/>
  <c r="X136" i="4"/>
  <c r="AI113" i="5"/>
  <c r="Y136" i="4"/>
  <c r="AJ113" i="5"/>
  <c r="Z136" i="4"/>
  <c r="AL113" i="5"/>
  <c r="F113" i="5"/>
  <c r="H113" i="5"/>
  <c r="I113" i="5"/>
  <c r="L113" i="5"/>
  <c r="N113" i="5"/>
  <c r="O113" i="5"/>
  <c r="Z113" i="5"/>
  <c r="AN113" i="5"/>
  <c r="AG114" i="5"/>
  <c r="AF114" i="5"/>
  <c r="C137" i="4"/>
  <c r="C114" i="5"/>
  <c r="D137" i="4"/>
  <c r="E114" i="5"/>
  <c r="H137" i="4"/>
  <c r="K114" i="5"/>
  <c r="L137" i="4"/>
  <c r="Q114" i="5"/>
  <c r="M137" i="4"/>
  <c r="R114" i="5"/>
  <c r="T114" i="5"/>
  <c r="O137" i="4"/>
  <c r="U114" i="5"/>
  <c r="P137" i="4"/>
  <c r="W114" i="5"/>
  <c r="Q137" i="4"/>
  <c r="X114" i="5"/>
  <c r="S137" i="4"/>
  <c r="AA114" i="5"/>
  <c r="AI137" i="4"/>
  <c r="T137" i="4" a="1"/>
  <c r="T137" i="4"/>
  <c r="AC114" i="5"/>
  <c r="U137" i="4" a="1"/>
  <c r="U137" i="4"/>
  <c r="AD114" i="5"/>
  <c r="X137" i="4"/>
  <c r="AI114" i="5"/>
  <c r="Y137" i="4"/>
  <c r="AJ114" i="5"/>
  <c r="Z137" i="4"/>
  <c r="AL114" i="5"/>
  <c r="F114" i="5"/>
  <c r="H114" i="5"/>
  <c r="I114" i="5"/>
  <c r="L114" i="5"/>
  <c r="N114" i="5"/>
  <c r="O114" i="5"/>
  <c r="Z114" i="5"/>
  <c r="AN114" i="5"/>
  <c r="AG115" i="5"/>
  <c r="AF115" i="5"/>
  <c r="C138" i="4"/>
  <c r="C115" i="5"/>
  <c r="T115" i="5"/>
  <c r="O138" i="4"/>
  <c r="U115" i="5"/>
  <c r="P138" i="4"/>
  <c r="W115" i="5"/>
  <c r="Q138" i="4"/>
  <c r="X115" i="5"/>
  <c r="S138" i="4"/>
  <c r="AA115" i="5"/>
  <c r="AI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H115" i="5"/>
  <c r="I115" i="5"/>
  <c r="L115" i="5"/>
  <c r="N115" i="5"/>
  <c r="O115" i="5"/>
  <c r="Z115" i="5"/>
  <c r="AN115" i="5"/>
  <c r="AG116" i="5"/>
  <c r="AF116" i="5"/>
  <c r="B140" i="4"/>
  <c r="C140" i="4"/>
  <c r="C116" i="5"/>
  <c r="D140" i="4"/>
  <c r="E116" i="5"/>
  <c r="H140" i="4"/>
  <c r="K116" i="5"/>
  <c r="L140" i="4"/>
  <c r="Q116" i="5"/>
  <c r="M140" i="4"/>
  <c r="R116" i="5"/>
  <c r="T116" i="5"/>
  <c r="U116" i="5"/>
  <c r="P140" i="4"/>
  <c r="W116" i="5"/>
  <c r="Q140" i="4"/>
  <c r="X116" i="5"/>
  <c r="AA116" i="5"/>
  <c r="AI140" i="4"/>
  <c r="T140" i="4" a="1"/>
  <c r="T140" i="4"/>
  <c r="AC116" i="5"/>
  <c r="U140" i="4" a="1"/>
  <c r="U140" i="4"/>
  <c r="AD116" i="5"/>
  <c r="X140" i="4"/>
  <c r="AI116" i="5"/>
  <c r="Y140" i="4"/>
  <c r="AJ116" i="5"/>
  <c r="Z140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141" i="4"/>
  <c r="C141" i="4"/>
  <c r="C117" i="5"/>
  <c r="D141" i="4"/>
  <c r="E117" i="5"/>
  <c r="E141" i="4"/>
  <c r="F117" i="5"/>
  <c r="F141" i="4"/>
  <c r="H117" i="5"/>
  <c r="I117" i="5"/>
  <c r="I141" i="4"/>
  <c r="L117" i="5"/>
  <c r="J141" i="4"/>
  <c r="N117" i="5"/>
  <c r="L141" i="4"/>
  <c r="Q117" i="5"/>
  <c r="M141" i="4"/>
  <c r="R117" i="5"/>
  <c r="T117" i="5"/>
  <c r="U117" i="5"/>
  <c r="P141" i="4"/>
  <c r="W117" i="5"/>
  <c r="AA117" i="5"/>
  <c r="AI141" i="4"/>
  <c r="T141" i="4" a="1"/>
  <c r="T141" i="4"/>
  <c r="AC117" i="5"/>
  <c r="U141" i="4" a="1"/>
  <c r="U141" i="4"/>
  <c r="AD117" i="5"/>
  <c r="Y141" i="4"/>
  <c r="AJ117" i="5"/>
  <c r="Z141" i="4"/>
  <c r="AL117" i="5"/>
  <c r="X117" i="5"/>
  <c r="Z117" i="5"/>
  <c r="AN117" i="5"/>
  <c r="AG118" i="5"/>
  <c r="AF118" i="5"/>
  <c r="B49" i="4"/>
  <c r="C49" i="4"/>
  <c r="C118" i="5"/>
  <c r="D49" i="4"/>
  <c r="E118" i="5"/>
  <c r="K118" i="5"/>
  <c r="L49" i="4"/>
  <c r="Q118" i="5"/>
  <c r="M49" i="4"/>
  <c r="R118" i="5"/>
  <c r="T118" i="5"/>
  <c r="U118" i="5"/>
  <c r="P49" i="4"/>
  <c r="W118" i="5"/>
  <c r="Q49" i="4"/>
  <c r="X118" i="5"/>
  <c r="S49" i="4"/>
  <c r="AA118" i="5"/>
  <c r="AI49" i="4"/>
  <c r="T49" i="4" a="1"/>
  <c r="T49" i="4"/>
  <c r="AC118" i="5"/>
  <c r="U49" i="4" a="1"/>
  <c r="U49" i="4"/>
  <c r="AD118" i="5"/>
  <c r="X49" i="4"/>
  <c r="AI118" i="5"/>
  <c r="F118" i="5"/>
  <c r="H118" i="5"/>
  <c r="I118" i="5"/>
  <c r="L118" i="5"/>
  <c r="N118" i="5"/>
  <c r="O118" i="5"/>
  <c r="Z118" i="5"/>
  <c r="AN118" i="5"/>
  <c r="AA119" i="5"/>
  <c r="P36" i="4"/>
  <c r="W119" i="5"/>
  <c r="AG119" i="5"/>
  <c r="AF119" i="5"/>
  <c r="C36" i="4"/>
  <c r="C119" i="5"/>
  <c r="D36" i="4"/>
  <c r="E119" i="5"/>
  <c r="K119" i="5"/>
  <c r="Q119" i="5"/>
  <c r="M36" i="4"/>
  <c r="R119" i="5"/>
  <c r="T119" i="5"/>
  <c r="U119" i="5"/>
  <c r="Q36" i="4"/>
  <c r="X119" i="5"/>
  <c r="R36" i="4"/>
  <c r="Z119" i="5"/>
  <c r="AI36" i="4"/>
  <c r="T36" i="4" a="1"/>
  <c r="T36" i="4"/>
  <c r="AC119" i="5"/>
  <c r="U36" i="4" a="1"/>
  <c r="U36" i="4"/>
  <c r="AD119" i="5"/>
  <c r="Y36" i="4"/>
  <c r="AJ119" i="5"/>
  <c r="Z36" i="4"/>
  <c r="AL119" i="5"/>
  <c r="F119" i="5"/>
  <c r="H119" i="5"/>
  <c r="I119" i="5"/>
  <c r="L119" i="5"/>
  <c r="N119" i="5"/>
  <c r="O119" i="5"/>
  <c r="AN119" i="5"/>
  <c r="AG120" i="5"/>
  <c r="AF120" i="5"/>
  <c r="B144" i="4"/>
  <c r="C144" i="4"/>
  <c r="C120" i="5"/>
  <c r="D144" i="4"/>
  <c r="E120" i="5"/>
  <c r="E144" i="4"/>
  <c r="F120" i="5"/>
  <c r="F144" i="4"/>
  <c r="H120" i="5"/>
  <c r="I120" i="5"/>
  <c r="K120" i="5"/>
  <c r="L144" i="4"/>
  <c r="Q120" i="5"/>
  <c r="M144" i="4"/>
  <c r="R120" i="5"/>
  <c r="T120" i="5"/>
  <c r="O144" i="4"/>
  <c r="U120" i="5"/>
  <c r="P144" i="4"/>
  <c r="W120" i="5"/>
  <c r="Q144" i="4"/>
  <c r="X120" i="5"/>
  <c r="AA120" i="5"/>
  <c r="AI144" i="4"/>
  <c r="T144" i="4" a="1"/>
  <c r="T144" i="4"/>
  <c r="AC120" i="5"/>
  <c r="U144" i="4" a="1"/>
  <c r="U144" i="4"/>
  <c r="AD120" i="5"/>
  <c r="X144" i="4"/>
  <c r="AI120" i="5"/>
  <c r="Y144" i="4"/>
  <c r="AJ120" i="5"/>
  <c r="Z144" i="4"/>
  <c r="AL120" i="5"/>
  <c r="L120" i="5"/>
  <c r="N120" i="5"/>
  <c r="O120" i="5"/>
  <c r="Z120" i="5"/>
  <c r="AN120" i="5"/>
  <c r="AG121" i="5"/>
  <c r="AF121" i="5"/>
  <c r="B277" i="4"/>
  <c r="C277" i="4"/>
  <c r="C121" i="5"/>
  <c r="D277" i="4"/>
  <c r="E121" i="5"/>
  <c r="H277" i="4"/>
  <c r="K121" i="5"/>
  <c r="L277" i="4"/>
  <c r="Q121" i="5"/>
  <c r="M277" i="4"/>
  <c r="R121" i="5"/>
  <c r="T121" i="5"/>
  <c r="U121" i="5"/>
  <c r="W121" i="5"/>
  <c r="Q277" i="4"/>
  <c r="X121" i="5"/>
  <c r="AA121" i="5"/>
  <c r="AI277" i="4"/>
  <c r="T277" i="4" a="1"/>
  <c r="T277" i="4"/>
  <c r="AC121" i="5"/>
  <c r="U277" i="4" a="1"/>
  <c r="U277" i="4"/>
  <c r="AD121" i="5"/>
  <c r="Y277" i="4"/>
  <c r="AJ121" i="5"/>
  <c r="Z277" i="4"/>
  <c r="AL121" i="5"/>
  <c r="F121" i="5"/>
  <c r="H121" i="5"/>
  <c r="I121" i="5"/>
  <c r="L121" i="5"/>
  <c r="N121" i="5"/>
  <c r="O121" i="5"/>
  <c r="Z121" i="5"/>
  <c r="AN121" i="5"/>
  <c r="AG122" i="5"/>
  <c r="AF122" i="5"/>
  <c r="B145" i="4"/>
  <c r="C145" i="4"/>
  <c r="C122" i="5"/>
  <c r="D145" i="4"/>
  <c r="E122" i="5"/>
  <c r="H145" i="4"/>
  <c r="K122" i="5"/>
  <c r="L145" i="4"/>
  <c r="Q122" i="5"/>
  <c r="M145" i="4"/>
  <c r="R122" i="5"/>
  <c r="N145" i="4"/>
  <c r="T122" i="5"/>
  <c r="U122" i="5"/>
  <c r="W122" i="5"/>
  <c r="Q145" i="4"/>
  <c r="X122" i="5"/>
  <c r="AA122" i="5"/>
  <c r="AI145" i="4"/>
  <c r="T145" i="4" a="1"/>
  <c r="T145" i="4"/>
  <c r="AC122" i="5"/>
  <c r="U145" i="4" a="1"/>
  <c r="U145" i="4"/>
  <c r="AD122" i="5"/>
  <c r="X145" i="4"/>
  <c r="AI122" i="5"/>
  <c r="Y145" i="4"/>
  <c r="AJ122" i="5"/>
  <c r="Z145" i="4"/>
  <c r="AL122" i="5"/>
  <c r="F122" i="5"/>
  <c r="H122" i="5"/>
  <c r="I122" i="5"/>
  <c r="L122" i="5"/>
  <c r="N122" i="5"/>
  <c r="O122" i="5"/>
  <c r="Z122" i="5"/>
  <c r="AN122" i="5"/>
  <c r="AG123" i="5"/>
  <c r="AF123" i="5"/>
  <c r="B285" i="4"/>
  <c r="C285" i="4"/>
  <c r="C123" i="5"/>
  <c r="D285" i="4"/>
  <c r="E123" i="5"/>
  <c r="H285" i="4"/>
  <c r="K123" i="5"/>
  <c r="L285" i="4"/>
  <c r="Q123" i="5"/>
  <c r="R123" i="5"/>
  <c r="T123" i="5"/>
  <c r="O285" i="4"/>
  <c r="U123" i="5"/>
  <c r="P285" i="4"/>
  <c r="W123" i="5"/>
  <c r="Q285" i="4"/>
  <c r="X123" i="5"/>
  <c r="AA123" i="5"/>
  <c r="AI285" i="4"/>
  <c r="T285" i="4" a="1"/>
  <c r="T285" i="4"/>
  <c r="AC123" i="5"/>
  <c r="U285" i="4" a="1"/>
  <c r="U285" i="4"/>
  <c r="AD123" i="5"/>
  <c r="Y285" i="4"/>
  <c r="AJ123" i="5"/>
  <c r="Z285" i="4"/>
  <c r="AL123" i="5"/>
  <c r="F123" i="5"/>
  <c r="H123" i="5"/>
  <c r="I123" i="5"/>
  <c r="L123" i="5"/>
  <c r="N123" i="5"/>
  <c r="O123" i="5"/>
  <c r="Z123" i="5"/>
  <c r="AN123" i="5"/>
  <c r="O124" i="5"/>
  <c r="B146" i="4"/>
  <c r="H146" i="4"/>
  <c r="K124" i="5"/>
  <c r="AG124" i="5"/>
  <c r="AF124" i="5"/>
  <c r="C146" i="4"/>
  <c r="C124" i="5"/>
  <c r="D146" i="4"/>
  <c r="E124" i="5"/>
  <c r="E146" i="4"/>
  <c r="F124" i="5"/>
  <c r="F146" i="4"/>
  <c r="H124" i="5"/>
  <c r="I124" i="5"/>
  <c r="I146" i="4"/>
  <c r="L124" i="5"/>
  <c r="J146" i="4"/>
  <c r="N124" i="5"/>
  <c r="L146" i="4"/>
  <c r="Q124" i="5"/>
  <c r="M146" i="4"/>
  <c r="R124" i="5"/>
  <c r="T124" i="5"/>
  <c r="O146" i="4"/>
  <c r="U124" i="5"/>
  <c r="P146" i="4"/>
  <c r="W124" i="5"/>
  <c r="Q146" i="4"/>
  <c r="X124" i="5"/>
  <c r="S146" i="4"/>
  <c r="AA124" i="5"/>
  <c r="AI146" i="4"/>
  <c r="T146" i="4" a="1"/>
  <c r="T146" i="4"/>
  <c r="AC124" i="5"/>
  <c r="U146" i="4" a="1"/>
  <c r="U146" i="4"/>
  <c r="AD124" i="5"/>
  <c r="X146" i="4"/>
  <c r="AI124" i="5"/>
  <c r="Y146" i="4"/>
  <c r="AJ124" i="5"/>
  <c r="Z146" i="4"/>
  <c r="AL124" i="5"/>
  <c r="Z124" i="5"/>
  <c r="AN124" i="5"/>
  <c r="AG125" i="5"/>
  <c r="AF125" i="5"/>
  <c r="B258" i="4"/>
  <c r="C258" i="4"/>
  <c r="C125" i="5"/>
  <c r="D258" i="4"/>
  <c r="E125" i="5"/>
  <c r="H258" i="4"/>
  <c r="K125" i="5"/>
  <c r="L258" i="4"/>
  <c r="Q125" i="5"/>
  <c r="M258" i="4"/>
  <c r="R125" i="5"/>
  <c r="T125" i="5"/>
  <c r="O258" i="4"/>
  <c r="U125" i="5"/>
  <c r="P258" i="4"/>
  <c r="W125" i="5"/>
  <c r="Q258" i="4"/>
  <c r="X125" i="5"/>
  <c r="AA125" i="5"/>
  <c r="AI258" i="4"/>
  <c r="T258" i="4" a="1"/>
  <c r="T258" i="4"/>
  <c r="AC125" i="5"/>
  <c r="U258" i="4" a="1"/>
  <c r="U258" i="4"/>
  <c r="AD125" i="5"/>
  <c r="X258" i="4"/>
  <c r="AI125" i="5"/>
  <c r="Y258" i="4"/>
  <c r="AJ125" i="5"/>
  <c r="Z258" i="4"/>
  <c r="AL125" i="5"/>
  <c r="F125" i="5"/>
  <c r="H125" i="5"/>
  <c r="I125" i="5"/>
  <c r="L125" i="5"/>
  <c r="N125" i="5"/>
  <c r="O125" i="5"/>
  <c r="Z125" i="5"/>
  <c r="AN125" i="5"/>
  <c r="AG126" i="5"/>
  <c r="AF126" i="5"/>
  <c r="B147" i="4"/>
  <c r="C147" i="4"/>
  <c r="C126" i="5"/>
  <c r="D147" i="4"/>
  <c r="E126" i="5"/>
  <c r="H147" i="4"/>
  <c r="K126" i="5"/>
  <c r="L147" i="4"/>
  <c r="Q126" i="5"/>
  <c r="M147" i="4"/>
  <c r="R126" i="5"/>
  <c r="T126" i="5"/>
  <c r="U126" i="5"/>
  <c r="P147" i="4"/>
  <c r="W126" i="5"/>
  <c r="Q147" i="4"/>
  <c r="X126" i="5"/>
  <c r="S147" i="4"/>
  <c r="AA126" i="5"/>
  <c r="AI147" i="4"/>
  <c r="T147" i="4" a="1"/>
  <c r="T147" i="4"/>
  <c r="AC126" i="5"/>
  <c r="U147" i="4" a="1"/>
  <c r="U147" i="4"/>
  <c r="AD126" i="5"/>
  <c r="X147" i="4"/>
  <c r="AI126" i="5"/>
  <c r="Y147" i="4"/>
  <c r="AJ126" i="5"/>
  <c r="Z147" i="4"/>
  <c r="AL126" i="5"/>
  <c r="F126" i="5"/>
  <c r="H126" i="5"/>
  <c r="I126" i="5"/>
  <c r="L126" i="5"/>
  <c r="N126" i="5"/>
  <c r="O126" i="5"/>
  <c r="Z126" i="5"/>
  <c r="AN126" i="5"/>
  <c r="AG127" i="5"/>
  <c r="AF127" i="5"/>
  <c r="B148" i="4"/>
  <c r="C148" i="4"/>
  <c r="C127" i="5"/>
  <c r="D148" i="4"/>
  <c r="E127" i="5"/>
  <c r="H148" i="4"/>
  <c r="K127" i="5"/>
  <c r="L148" i="4"/>
  <c r="Q127" i="5"/>
  <c r="M148" i="4"/>
  <c r="R127" i="5"/>
  <c r="T127" i="5"/>
  <c r="O148" i="4"/>
  <c r="U127" i="5"/>
  <c r="P148" i="4"/>
  <c r="W127" i="5"/>
  <c r="Q148" i="4"/>
  <c r="X127" i="5"/>
  <c r="S148" i="4"/>
  <c r="AA127" i="5"/>
  <c r="AI148" i="4"/>
  <c r="T148" i="4" a="1"/>
  <c r="T148" i="4"/>
  <c r="AC127" i="5"/>
  <c r="U148" i="4" a="1"/>
  <c r="U148" i="4"/>
  <c r="AD127" i="5"/>
  <c r="X148" i="4"/>
  <c r="AI127" i="5"/>
  <c r="Y148" i="4"/>
  <c r="AJ127" i="5"/>
  <c r="Z148" i="4"/>
  <c r="AL127" i="5"/>
  <c r="F127" i="5"/>
  <c r="H127" i="5"/>
  <c r="I127" i="5"/>
  <c r="L127" i="5"/>
  <c r="N127" i="5"/>
  <c r="O127" i="5"/>
  <c r="Z127" i="5"/>
  <c r="AN127" i="5"/>
  <c r="AG128" i="5"/>
  <c r="AF128" i="5"/>
  <c r="B37" i="4"/>
  <c r="C37" i="4"/>
  <c r="C128" i="5"/>
  <c r="D37" i="4"/>
  <c r="E128" i="5"/>
  <c r="K128" i="5"/>
  <c r="L37" i="4"/>
  <c r="Q128" i="5"/>
  <c r="M37" i="4"/>
  <c r="R128" i="5"/>
  <c r="T128" i="5"/>
  <c r="O37" i="4"/>
  <c r="U128" i="5"/>
  <c r="P37" i="4"/>
  <c r="W128" i="5"/>
  <c r="Q37" i="4"/>
  <c r="X128" i="5"/>
  <c r="AA128" i="5"/>
  <c r="AI37" i="4"/>
  <c r="T37" i="4" a="1"/>
  <c r="T37" i="4"/>
  <c r="AC128" i="5"/>
  <c r="U37" i="4" a="1"/>
  <c r="U37" i="4"/>
  <c r="AD128" i="5"/>
  <c r="X37" i="4"/>
  <c r="AI128" i="5"/>
  <c r="Y37" i="4"/>
  <c r="AJ128" i="5"/>
  <c r="Z37" i="4"/>
  <c r="AL128" i="5"/>
  <c r="F128" i="5"/>
  <c r="H128" i="5"/>
  <c r="I128" i="5"/>
  <c r="L128" i="5"/>
  <c r="N128" i="5"/>
  <c r="O128" i="5"/>
  <c r="Z128" i="5"/>
  <c r="AN128" i="5"/>
  <c r="AG129" i="5"/>
  <c r="AF129" i="5"/>
  <c r="B149" i="4"/>
  <c r="C149" i="4"/>
  <c r="C129" i="5"/>
  <c r="D149" i="4"/>
  <c r="E129" i="5"/>
  <c r="E149" i="4"/>
  <c r="F129" i="5"/>
  <c r="F149" i="4"/>
  <c r="H129" i="5"/>
  <c r="I129" i="5"/>
  <c r="H149" i="4"/>
  <c r="K129" i="5"/>
  <c r="L149" i="4"/>
  <c r="Q129" i="5"/>
  <c r="M149" i="4"/>
  <c r="R129" i="5"/>
  <c r="T129" i="5"/>
  <c r="U129" i="5"/>
  <c r="P149" i="4"/>
  <c r="W129" i="5"/>
  <c r="Q149" i="4"/>
  <c r="X129" i="5"/>
  <c r="S149" i="4"/>
  <c r="AA129" i="5"/>
  <c r="AI149" i="4"/>
  <c r="T149" i="4" a="1"/>
  <c r="T149" i="4"/>
  <c r="AC129" i="5"/>
  <c r="U149" i="4" a="1"/>
  <c r="U149" i="4"/>
  <c r="AD129" i="5"/>
  <c r="X149" i="4"/>
  <c r="AI129" i="5"/>
  <c r="Y149" i="4"/>
  <c r="AJ129" i="5"/>
  <c r="Z149" i="4"/>
  <c r="AL129" i="5"/>
  <c r="L129" i="5"/>
  <c r="N129" i="5"/>
  <c r="O129" i="5"/>
  <c r="Z129" i="5"/>
  <c r="AN129" i="5"/>
  <c r="B5" i="4"/>
  <c r="S5" i="4"/>
  <c r="AA130" i="5"/>
  <c r="P5" i="4"/>
  <c r="W130" i="5"/>
  <c r="AG130" i="5"/>
  <c r="AF130" i="5"/>
  <c r="C5" i="4"/>
  <c r="C130" i="5"/>
  <c r="D5" i="4"/>
  <c r="E130" i="5"/>
  <c r="E5" i="4"/>
  <c r="F130" i="5"/>
  <c r="F5" i="4"/>
  <c r="H130" i="5"/>
  <c r="I130" i="5"/>
  <c r="K130" i="5"/>
  <c r="L5" i="4"/>
  <c r="Q130" i="5"/>
  <c r="U130" i="5"/>
  <c r="Q5" i="4"/>
  <c r="X130" i="5"/>
  <c r="R5" i="4"/>
  <c r="Z130" i="5"/>
  <c r="AI5" i="4"/>
  <c r="T5" i="4" a="1"/>
  <c r="T5" i="4"/>
  <c r="AC130" i="5"/>
  <c r="U5" i="4" a="1"/>
  <c r="U5" i="4"/>
  <c r="AD130" i="5"/>
  <c r="X5" i="4"/>
  <c r="AI130" i="5"/>
  <c r="Y5" i="4"/>
  <c r="AJ130" i="5"/>
  <c r="Z5" i="4"/>
  <c r="AL130" i="5"/>
  <c r="R130" i="5"/>
  <c r="T130" i="5"/>
  <c r="L130" i="5"/>
  <c r="N130" i="5"/>
  <c r="O130" i="5"/>
  <c r="AN130" i="5"/>
  <c r="AG131" i="5"/>
  <c r="AF131" i="5"/>
  <c r="C150" i="4"/>
  <c r="C131" i="5"/>
  <c r="D150" i="4"/>
  <c r="E131" i="5"/>
  <c r="E150" i="4"/>
  <c r="F131" i="5"/>
  <c r="F150" i="4"/>
  <c r="H131" i="5"/>
  <c r="I131" i="5"/>
  <c r="H150" i="4"/>
  <c r="K131" i="5"/>
  <c r="L150" i="4"/>
  <c r="Q131" i="5"/>
  <c r="M150" i="4"/>
  <c r="R131" i="5"/>
  <c r="T131" i="5"/>
  <c r="U131" i="5"/>
  <c r="P150" i="4"/>
  <c r="W131" i="5"/>
  <c r="Q150" i="4"/>
  <c r="X131" i="5"/>
  <c r="S150" i="4"/>
  <c r="AA131" i="5"/>
  <c r="AI150" i="4"/>
  <c r="T150" i="4" a="1"/>
  <c r="T150" i="4"/>
  <c r="AC131" i="5"/>
  <c r="U150" i="4" a="1"/>
  <c r="U150" i="4"/>
  <c r="AD131" i="5"/>
  <c r="X150" i="4"/>
  <c r="AI131" i="5"/>
  <c r="Y150" i="4"/>
  <c r="AJ131" i="5"/>
  <c r="Z150" i="4"/>
  <c r="AL131" i="5"/>
  <c r="Z131" i="5"/>
  <c r="L131" i="5"/>
  <c r="N131" i="5"/>
  <c r="O131" i="5"/>
  <c r="AN131" i="5"/>
  <c r="AG132" i="5"/>
  <c r="AF132" i="5"/>
  <c r="B151" i="4"/>
  <c r="C151" i="4"/>
  <c r="C132" i="5"/>
  <c r="D151" i="4"/>
  <c r="E132" i="5"/>
  <c r="E151" i="4"/>
  <c r="F132" i="5"/>
  <c r="F151" i="4"/>
  <c r="H132" i="5"/>
  <c r="I132" i="5"/>
  <c r="H151" i="4"/>
  <c r="K132" i="5"/>
  <c r="L151" i="4"/>
  <c r="Q132" i="5"/>
  <c r="M151" i="4"/>
  <c r="R132" i="5"/>
  <c r="T132" i="5"/>
  <c r="O151" i="4"/>
  <c r="U132" i="5"/>
  <c r="P151" i="4"/>
  <c r="W132" i="5"/>
  <c r="Q151" i="4"/>
  <c r="X132" i="5"/>
  <c r="AA132" i="5"/>
  <c r="AI151" i="4"/>
  <c r="T151" i="4" a="1"/>
  <c r="T151" i="4"/>
  <c r="AC132" i="5"/>
  <c r="U151" i="4" a="1"/>
  <c r="U151" i="4"/>
  <c r="AD132" i="5"/>
  <c r="X151" i="4"/>
  <c r="AI132" i="5"/>
  <c r="Y151" i="4"/>
  <c r="AJ132" i="5"/>
  <c r="Z151" i="4"/>
  <c r="AL132" i="5"/>
  <c r="Z132" i="5"/>
  <c r="L132" i="5"/>
  <c r="N132" i="5"/>
  <c r="O132" i="5"/>
  <c r="AN132" i="5"/>
  <c r="AG133" i="5"/>
  <c r="AF133" i="5"/>
  <c r="B51" i="4"/>
  <c r="C51" i="4"/>
  <c r="C133" i="5"/>
  <c r="D51" i="4"/>
  <c r="E133" i="5"/>
  <c r="E51" i="4"/>
  <c r="F133" i="5"/>
  <c r="F51" i="4"/>
  <c r="H133" i="5"/>
  <c r="I133" i="5"/>
  <c r="K133" i="5"/>
  <c r="L51" i="4"/>
  <c r="Q133" i="5"/>
  <c r="M51" i="4"/>
  <c r="R133" i="5"/>
  <c r="T133" i="5"/>
  <c r="U133" i="5"/>
  <c r="P51" i="4"/>
  <c r="W133" i="5"/>
  <c r="Q51" i="4"/>
  <c r="X133" i="5"/>
  <c r="S51" i="4"/>
  <c r="AA133" i="5"/>
  <c r="AI51" i="4"/>
  <c r="T51" i="4" a="1"/>
  <c r="T51" i="4"/>
  <c r="AC133" i="5"/>
  <c r="U51" i="4" a="1"/>
  <c r="U51" i="4"/>
  <c r="AD133" i="5"/>
  <c r="X51" i="4"/>
  <c r="AI133" i="5"/>
  <c r="Y51" i="4"/>
  <c r="AJ133" i="5"/>
  <c r="Z51" i="4"/>
  <c r="AL133" i="5"/>
  <c r="Z133" i="5"/>
  <c r="L133" i="5"/>
  <c r="N133" i="5"/>
  <c r="O133" i="5"/>
  <c r="AN133" i="5"/>
  <c r="AA134" i="5"/>
  <c r="P14" i="4"/>
  <c r="W134" i="5"/>
  <c r="O134" i="5"/>
  <c r="K134" i="5"/>
  <c r="AG134" i="5"/>
  <c r="AF134" i="5"/>
  <c r="C14" i="4"/>
  <c r="C134" i="5"/>
  <c r="D14" i="4"/>
  <c r="E134" i="5"/>
  <c r="I14" i="4"/>
  <c r="L134" i="5"/>
  <c r="J14" i="4"/>
  <c r="N134" i="5"/>
  <c r="L14" i="4"/>
  <c r="Q134" i="5"/>
  <c r="M14" i="4"/>
  <c r="R134" i="5"/>
  <c r="T134" i="5"/>
  <c r="U134" i="5"/>
  <c r="Q14" i="4"/>
  <c r="X134" i="5"/>
  <c r="R14" i="4"/>
  <c r="Z134" i="5"/>
  <c r="AI14" i="4"/>
  <c r="T14" i="4" a="1"/>
  <c r="T14" i="4"/>
  <c r="AC134" i="5"/>
  <c r="U14" i="4" a="1"/>
  <c r="U14" i="4"/>
  <c r="AD134" i="5"/>
  <c r="X14" i="4"/>
  <c r="AI134" i="5"/>
  <c r="Y14" i="4"/>
  <c r="AJ134" i="5"/>
  <c r="Z14" i="4"/>
  <c r="AL134" i="5"/>
  <c r="F134" i="5"/>
  <c r="H134" i="5"/>
  <c r="I134" i="5"/>
  <c r="AN134" i="5"/>
  <c r="O135" i="5"/>
  <c r="K135" i="5"/>
  <c r="AG135" i="5"/>
  <c r="AF135" i="5"/>
  <c r="B153" i="4"/>
  <c r="C153" i="4"/>
  <c r="C135" i="5"/>
  <c r="D153" i="4"/>
  <c r="E135" i="5"/>
  <c r="I153" i="4"/>
  <c r="L135" i="5"/>
  <c r="J153" i="4"/>
  <c r="N135" i="5"/>
  <c r="L153" i="4"/>
  <c r="Q135" i="5"/>
  <c r="M153" i="4"/>
  <c r="R135" i="5"/>
  <c r="T135" i="5"/>
  <c r="U135" i="5"/>
  <c r="P153" i="4"/>
  <c r="W135" i="5"/>
  <c r="Q153" i="4"/>
  <c r="X135" i="5"/>
  <c r="AA135" i="5"/>
  <c r="AI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Z135" i="5"/>
  <c r="F135" i="5"/>
  <c r="H135" i="5"/>
  <c r="I135" i="5"/>
  <c r="AN135" i="5"/>
  <c r="AG136" i="5"/>
  <c r="AF136" i="5"/>
  <c r="B155" i="4"/>
  <c r="C155" i="4"/>
  <c r="C136" i="5"/>
  <c r="D155" i="4"/>
  <c r="E136" i="5"/>
  <c r="H155" i="4"/>
  <c r="K136" i="5"/>
  <c r="L155" i="4"/>
  <c r="Q136" i="5"/>
  <c r="M155" i="4"/>
  <c r="R136" i="5"/>
  <c r="T136" i="5"/>
  <c r="O155" i="4"/>
  <c r="U136" i="5"/>
  <c r="P155" i="4"/>
  <c r="W136" i="5"/>
  <c r="Q155" i="4"/>
  <c r="X136" i="5"/>
  <c r="S155" i="4"/>
  <c r="AA136" i="5"/>
  <c r="AI155" i="4"/>
  <c r="T155" i="4" a="1"/>
  <c r="T155" i="4"/>
  <c r="AC136" i="5"/>
  <c r="U155" i="4" a="1"/>
  <c r="U155" i="4"/>
  <c r="AD136" i="5"/>
  <c r="X155" i="4"/>
  <c r="AI136" i="5"/>
  <c r="Y155" i="4"/>
  <c r="AJ136" i="5"/>
  <c r="Z155" i="4"/>
  <c r="AL136" i="5"/>
  <c r="L136" i="5"/>
  <c r="N136" i="5"/>
  <c r="O136" i="5"/>
  <c r="Z136" i="5"/>
  <c r="F136" i="5"/>
  <c r="H136" i="5"/>
  <c r="I136" i="5"/>
  <c r="AN136" i="5"/>
  <c r="O137" i="5"/>
  <c r="B156" i="4"/>
  <c r="H156" i="4"/>
  <c r="K137" i="5"/>
  <c r="AG137" i="5"/>
  <c r="AF137" i="5"/>
  <c r="C156" i="4"/>
  <c r="C137" i="5"/>
  <c r="D156" i="4"/>
  <c r="E137" i="5"/>
  <c r="I156" i="4"/>
  <c r="L137" i="5"/>
  <c r="J156" i="4"/>
  <c r="N137" i="5"/>
  <c r="L156" i="4"/>
  <c r="Q137" i="5"/>
  <c r="M156" i="4"/>
  <c r="R137" i="5"/>
  <c r="T137" i="5"/>
  <c r="U137" i="5"/>
  <c r="P156" i="4"/>
  <c r="W137" i="5"/>
  <c r="Q156" i="4"/>
  <c r="X137" i="5"/>
  <c r="AA137" i="5"/>
  <c r="AI156" i="4"/>
  <c r="T156" i="4" a="1"/>
  <c r="T156" i="4"/>
  <c r="AC137" i="5"/>
  <c r="U156" i="4" a="1"/>
  <c r="U156" i="4"/>
  <c r="AD137" i="5"/>
  <c r="X156" i="4"/>
  <c r="AI137" i="5"/>
  <c r="Y156" i="4"/>
  <c r="AJ137" i="5"/>
  <c r="Z156" i="4"/>
  <c r="AL137" i="5"/>
  <c r="Z137" i="5"/>
  <c r="F137" i="5"/>
  <c r="H137" i="5"/>
  <c r="I137" i="5"/>
  <c r="AN137" i="5"/>
  <c r="B6" i="4"/>
  <c r="S6" i="4"/>
  <c r="AA138" i="5"/>
  <c r="P6" i="4"/>
  <c r="W138" i="5"/>
  <c r="AG138" i="5"/>
  <c r="AF138" i="5"/>
  <c r="C6" i="4"/>
  <c r="C138" i="5"/>
  <c r="D6" i="4"/>
  <c r="E138" i="5"/>
  <c r="K138" i="5"/>
  <c r="L6" i="4"/>
  <c r="Q138" i="5"/>
  <c r="U138" i="5"/>
  <c r="Q6" i="4"/>
  <c r="X138" i="5"/>
  <c r="R6" i="4"/>
  <c r="Z138" i="5"/>
  <c r="AI6" i="4"/>
  <c r="T6" i="4" a="1"/>
  <c r="T6" i="4"/>
  <c r="AC138" i="5"/>
  <c r="U6" i="4" a="1"/>
  <c r="U6" i="4"/>
  <c r="AD138" i="5"/>
  <c r="X6" i="4"/>
  <c r="AI138" i="5"/>
  <c r="Y6" i="4"/>
  <c r="AJ138" i="5"/>
  <c r="Z6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157" i="4"/>
  <c r="C157" i="4"/>
  <c r="C139" i="5"/>
  <c r="D157" i="4"/>
  <c r="E139" i="5"/>
  <c r="H157" i="4"/>
  <c r="K139" i="5"/>
  <c r="L157" i="4"/>
  <c r="Q139" i="5"/>
  <c r="M157" i="4"/>
  <c r="R139" i="5"/>
  <c r="T139" i="5"/>
  <c r="O157" i="4"/>
  <c r="U139" i="5"/>
  <c r="P157" i="4"/>
  <c r="W139" i="5"/>
  <c r="Q157" i="4"/>
  <c r="X139" i="5"/>
  <c r="S157" i="4"/>
  <c r="AA139" i="5"/>
  <c r="AI157" i="4"/>
  <c r="T157" i="4" a="1"/>
  <c r="T157" i="4"/>
  <c r="AC139" i="5"/>
  <c r="U157" i="4" a="1"/>
  <c r="U157" i="4"/>
  <c r="AD139" i="5"/>
  <c r="X157" i="4"/>
  <c r="AI139" i="5"/>
  <c r="Y157" i="4"/>
  <c r="AJ139" i="5"/>
  <c r="Z157" i="4"/>
  <c r="AL139" i="5"/>
  <c r="L139" i="5"/>
  <c r="N139" i="5"/>
  <c r="O139" i="5"/>
  <c r="F139" i="5"/>
  <c r="H139" i="5"/>
  <c r="I139" i="5"/>
  <c r="Z139" i="5"/>
  <c r="AN139" i="5"/>
  <c r="AG140" i="5"/>
  <c r="AF140" i="5"/>
  <c r="B52" i="4"/>
  <c r="C52" i="4"/>
  <c r="C140" i="5"/>
  <c r="D52" i="4"/>
  <c r="E140" i="5"/>
  <c r="E52" i="4"/>
  <c r="F140" i="5"/>
  <c r="F52" i="4"/>
  <c r="H140" i="5"/>
  <c r="I140" i="5"/>
  <c r="K140" i="5"/>
  <c r="L52" i="4"/>
  <c r="Q140" i="5"/>
  <c r="M52" i="4"/>
  <c r="R140" i="5"/>
  <c r="T140" i="5"/>
  <c r="U140" i="5"/>
  <c r="P52" i="4"/>
  <c r="W140" i="5"/>
  <c r="Q52" i="4"/>
  <c r="X140" i="5"/>
  <c r="S52" i="4"/>
  <c r="AA140" i="5"/>
  <c r="AI52" i="4"/>
  <c r="T52" i="4" a="1"/>
  <c r="T52" i="4"/>
  <c r="AC140" i="5"/>
  <c r="U52" i="4" a="1"/>
  <c r="U52" i="4"/>
  <c r="AD140" i="5"/>
  <c r="X52" i="4"/>
  <c r="AI140" i="5"/>
  <c r="Y52" i="4"/>
  <c r="AJ140" i="5"/>
  <c r="Z52" i="4"/>
  <c r="AL140" i="5"/>
  <c r="L140" i="5"/>
  <c r="N140" i="5"/>
  <c r="O140" i="5"/>
  <c r="Z140" i="5"/>
  <c r="AN140" i="5"/>
  <c r="AG141" i="5"/>
  <c r="AF141" i="5"/>
  <c r="B158" i="4"/>
  <c r="C158" i="4"/>
  <c r="C141" i="5"/>
  <c r="D158" i="4"/>
  <c r="E141" i="5"/>
  <c r="E158" i="4"/>
  <c r="F141" i="5"/>
  <c r="F158" i="4"/>
  <c r="H141" i="5"/>
  <c r="I141" i="5"/>
  <c r="H158" i="4"/>
  <c r="K141" i="5"/>
  <c r="L158" i="4"/>
  <c r="Q141" i="5"/>
  <c r="M158" i="4"/>
  <c r="R141" i="5"/>
  <c r="T141" i="5"/>
  <c r="U141" i="5"/>
  <c r="P158" i="4"/>
  <c r="W141" i="5"/>
  <c r="Q158" i="4"/>
  <c r="X141" i="5"/>
  <c r="S158" i="4"/>
  <c r="AA141" i="5"/>
  <c r="AI158" i="4"/>
  <c r="T158" i="4" a="1"/>
  <c r="T158" i="4"/>
  <c r="AC141" i="5"/>
  <c r="U158" i="4" a="1"/>
  <c r="U158" i="4"/>
  <c r="AD141" i="5"/>
  <c r="X158" i="4"/>
  <c r="AI141" i="5"/>
  <c r="Y158" i="4"/>
  <c r="AJ141" i="5"/>
  <c r="Z158" i="4"/>
  <c r="AL141" i="5"/>
  <c r="L141" i="5"/>
  <c r="N141" i="5"/>
  <c r="O141" i="5"/>
  <c r="Z141" i="5"/>
  <c r="AN141" i="5"/>
  <c r="AG142" i="5"/>
  <c r="AF142" i="5"/>
  <c r="C159" i="4"/>
  <c r="C142" i="5"/>
  <c r="E142" i="5"/>
  <c r="E159" i="4"/>
  <c r="F142" i="5"/>
  <c r="F159" i="4"/>
  <c r="H142" i="5"/>
  <c r="I142" i="5"/>
  <c r="H159" i="4"/>
  <c r="K142" i="5"/>
  <c r="L159" i="4"/>
  <c r="Q142" i="5"/>
  <c r="M159" i="4"/>
  <c r="R142" i="5"/>
  <c r="T142" i="5"/>
  <c r="O159" i="4"/>
  <c r="U142" i="5"/>
  <c r="P159" i="4"/>
  <c r="W142" i="5"/>
  <c r="Q159" i="4"/>
  <c r="X142" i="5"/>
  <c r="S159" i="4"/>
  <c r="AA142" i="5"/>
  <c r="AI159" i="4"/>
  <c r="T159" i="4" a="1"/>
  <c r="T159" i="4"/>
  <c r="AC142" i="5"/>
  <c r="U159" i="4" a="1"/>
  <c r="U159" i="4"/>
  <c r="AD142" i="5"/>
  <c r="X159" i="4"/>
  <c r="AI142" i="5"/>
  <c r="Y159" i="4"/>
  <c r="AJ142" i="5"/>
  <c r="Z159" i="4"/>
  <c r="AL142" i="5"/>
  <c r="L142" i="5"/>
  <c r="N142" i="5"/>
  <c r="O142" i="5"/>
  <c r="Z142" i="5"/>
  <c r="AN142" i="5"/>
  <c r="O143" i="5"/>
  <c r="K143" i="5"/>
  <c r="AG143" i="5"/>
  <c r="AF143" i="5"/>
  <c r="C7" i="4"/>
  <c r="C143" i="5"/>
  <c r="E143" i="5"/>
  <c r="I7" i="4"/>
  <c r="L143" i="5"/>
  <c r="J7" i="4"/>
  <c r="N143" i="5"/>
  <c r="L7" i="4"/>
  <c r="Q143" i="5"/>
  <c r="M7" i="4"/>
  <c r="R143" i="5"/>
  <c r="T143" i="5"/>
  <c r="U143" i="5"/>
  <c r="P7" i="4"/>
  <c r="W143" i="5"/>
  <c r="Q7" i="4"/>
  <c r="X143" i="5"/>
  <c r="AA143" i="5"/>
  <c r="AI7" i="4"/>
  <c r="T7" i="4" a="1"/>
  <c r="T7" i="4"/>
  <c r="AC143" i="5"/>
  <c r="U7" i="4" a="1"/>
  <c r="U7" i="4"/>
  <c r="AD143" i="5"/>
  <c r="X7" i="4"/>
  <c r="AI143" i="5"/>
  <c r="Y7" i="4"/>
  <c r="AJ143" i="5"/>
  <c r="Z7" i="4"/>
  <c r="AL143" i="5"/>
  <c r="F143" i="5"/>
  <c r="H143" i="5"/>
  <c r="I143" i="5"/>
  <c r="Z143" i="5"/>
  <c r="AN143" i="5"/>
  <c r="AG144" i="5"/>
  <c r="AF144" i="5"/>
  <c r="C160" i="4"/>
  <c r="C144" i="5"/>
  <c r="D160" i="4"/>
  <c r="E144" i="5"/>
  <c r="H160" i="4"/>
  <c r="K144" i="5"/>
  <c r="L160" i="4"/>
  <c r="Q144" i="5"/>
  <c r="M160" i="4"/>
  <c r="R144" i="5"/>
  <c r="T144" i="5"/>
  <c r="U144" i="5"/>
  <c r="P160" i="4"/>
  <c r="W144" i="5"/>
  <c r="Q160" i="4"/>
  <c r="X144" i="5"/>
  <c r="S160" i="4"/>
  <c r="AA144" i="5"/>
  <c r="AI160" i="4"/>
  <c r="T160" i="4" a="1"/>
  <c r="T160" i="4"/>
  <c r="AC144" i="5"/>
  <c r="U160" i="4" a="1"/>
  <c r="U160" i="4"/>
  <c r="AD144" i="5"/>
  <c r="X160" i="4"/>
  <c r="AI144" i="5"/>
  <c r="Y160" i="4"/>
  <c r="AJ144" i="5"/>
  <c r="Z160" i="4"/>
  <c r="AL144" i="5"/>
  <c r="F144" i="5"/>
  <c r="H144" i="5"/>
  <c r="I144" i="5"/>
  <c r="L144" i="5"/>
  <c r="N144" i="5"/>
  <c r="O144" i="5"/>
  <c r="Z144" i="5"/>
  <c r="AN144" i="5"/>
  <c r="O145" i="5"/>
  <c r="H268" i="4"/>
  <c r="K145" i="5"/>
  <c r="AG145" i="5"/>
  <c r="AF145" i="5"/>
  <c r="C268" i="4"/>
  <c r="C145" i="5"/>
  <c r="D268" i="4"/>
  <c r="E145" i="5"/>
  <c r="E268" i="4"/>
  <c r="F145" i="5"/>
  <c r="F268" i="4"/>
  <c r="H145" i="5"/>
  <c r="I145" i="5"/>
  <c r="I268" i="4"/>
  <c r="L145" i="5"/>
  <c r="J268" i="4"/>
  <c r="N145" i="5"/>
  <c r="L268" i="4"/>
  <c r="Q145" i="5"/>
  <c r="M268" i="4"/>
  <c r="R145" i="5"/>
  <c r="T145" i="5"/>
  <c r="O268" i="4"/>
  <c r="U145" i="5"/>
  <c r="P268" i="4"/>
  <c r="W145" i="5"/>
  <c r="Q268" i="4"/>
  <c r="X145" i="5"/>
  <c r="AA145" i="5"/>
  <c r="AI268" i="4"/>
  <c r="T268" i="4" a="1"/>
  <c r="T268" i="4"/>
  <c r="AC145" i="5"/>
  <c r="U268" i="4" a="1"/>
  <c r="U268" i="4"/>
  <c r="AD145" i="5"/>
  <c r="X268" i="4"/>
  <c r="AI145" i="5"/>
  <c r="Y268" i="4"/>
  <c r="AJ145" i="5"/>
  <c r="Z268" i="4"/>
  <c r="AL145" i="5"/>
  <c r="Z145" i="5"/>
  <c r="AN145" i="5"/>
  <c r="AG146" i="5"/>
  <c r="AF146" i="5"/>
  <c r="B161" i="4"/>
  <c r="C161" i="4"/>
  <c r="C146" i="5"/>
  <c r="D161" i="4"/>
  <c r="E146" i="5"/>
  <c r="E161" i="4"/>
  <c r="F146" i="5"/>
  <c r="F161" i="4"/>
  <c r="H146" i="5"/>
  <c r="I146" i="5"/>
  <c r="H161" i="4"/>
  <c r="K146" i="5"/>
  <c r="L161" i="4"/>
  <c r="Q146" i="5"/>
  <c r="M161" i="4"/>
  <c r="R146" i="5"/>
  <c r="T146" i="5"/>
  <c r="O161" i="4"/>
  <c r="U146" i="5"/>
  <c r="P161" i="4"/>
  <c r="W146" i="5"/>
  <c r="Q161" i="4"/>
  <c r="X146" i="5"/>
  <c r="S161" i="4"/>
  <c r="AA146" i="5"/>
  <c r="AI161" i="4"/>
  <c r="T161" i="4" a="1"/>
  <c r="T161" i="4"/>
  <c r="AC146" i="5"/>
  <c r="U161" i="4" a="1"/>
  <c r="U161" i="4"/>
  <c r="AD146" i="5"/>
  <c r="X161" i="4"/>
  <c r="AI146" i="5"/>
  <c r="Y161" i="4"/>
  <c r="AJ146" i="5"/>
  <c r="Z161" i="4"/>
  <c r="AL146" i="5"/>
  <c r="L146" i="5"/>
  <c r="N146" i="5"/>
  <c r="O146" i="5"/>
  <c r="Z146" i="5"/>
  <c r="AN146" i="5"/>
  <c r="AG147" i="5"/>
  <c r="AF147" i="5"/>
  <c r="B162" i="4"/>
  <c r="C162" i="4"/>
  <c r="C147" i="5"/>
  <c r="D162" i="4"/>
  <c r="E147" i="5"/>
  <c r="E162" i="4"/>
  <c r="F147" i="5"/>
  <c r="F162" i="4"/>
  <c r="H147" i="5"/>
  <c r="I147" i="5"/>
  <c r="H162" i="4"/>
  <c r="K147" i="5"/>
  <c r="L162" i="4"/>
  <c r="Q147" i="5"/>
  <c r="M162" i="4"/>
  <c r="R147" i="5"/>
  <c r="T147" i="5"/>
  <c r="O162" i="4"/>
  <c r="U147" i="5"/>
  <c r="P162" i="4"/>
  <c r="W147" i="5"/>
  <c r="Q162" i="4"/>
  <c r="X147" i="5"/>
  <c r="S162" i="4"/>
  <c r="AA147" i="5"/>
  <c r="AI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L147" i="5"/>
  <c r="N147" i="5"/>
  <c r="O147" i="5"/>
  <c r="Z147" i="5"/>
  <c r="AN147" i="5"/>
  <c r="AG148" i="5"/>
  <c r="AF148" i="5"/>
  <c r="C164" i="4"/>
  <c r="C148" i="5"/>
  <c r="T148" i="5"/>
  <c r="U148" i="5"/>
  <c r="P164" i="4"/>
  <c r="W148" i="5"/>
  <c r="Q164" i="4"/>
  <c r="X148" i="5"/>
  <c r="AA148" i="5"/>
  <c r="AI164" i="4"/>
  <c r="T164" i="4" a="1"/>
  <c r="T164" i="4"/>
  <c r="AC148" i="5"/>
  <c r="U164" i="4" a="1"/>
  <c r="U164" i="4"/>
  <c r="AD148" i="5"/>
  <c r="X164" i="4"/>
  <c r="AI148" i="5"/>
  <c r="Y164" i="4"/>
  <c r="AJ148" i="5"/>
  <c r="Z164" i="4"/>
  <c r="AL148" i="5"/>
  <c r="Z148" i="5"/>
  <c r="AN148" i="5"/>
  <c r="O149" i="5"/>
  <c r="K149" i="5"/>
  <c r="AG149" i="5"/>
  <c r="AF149" i="5"/>
  <c r="B15" i="4"/>
  <c r="C15" i="4"/>
  <c r="C149" i="5"/>
  <c r="D15" i="4"/>
  <c r="E149" i="5"/>
  <c r="E15" i="4"/>
  <c r="F149" i="5"/>
  <c r="F15" i="4"/>
  <c r="H149" i="5"/>
  <c r="I149" i="5"/>
  <c r="I15" i="4"/>
  <c r="L149" i="5"/>
  <c r="J15" i="4"/>
  <c r="N149" i="5"/>
  <c r="L15" i="4"/>
  <c r="Q149" i="5"/>
  <c r="M15" i="4"/>
  <c r="R149" i="5"/>
  <c r="T149" i="5"/>
  <c r="U149" i="5"/>
  <c r="P15" i="4"/>
  <c r="W149" i="5"/>
  <c r="Q15" i="4"/>
  <c r="X149" i="5"/>
  <c r="S15" i="4"/>
  <c r="AA149" i="5"/>
  <c r="AI15" i="4"/>
  <c r="T15" i="4" a="1"/>
  <c r="T15" i="4"/>
  <c r="AC149" i="5"/>
  <c r="U15" i="4" a="1"/>
  <c r="U15" i="4"/>
  <c r="AD149" i="5"/>
  <c r="X15" i="4"/>
  <c r="AI149" i="5"/>
  <c r="Y15" i="4"/>
  <c r="AJ149" i="5"/>
  <c r="Z15" i="4"/>
  <c r="AL149" i="5"/>
  <c r="Z149" i="5"/>
  <c r="AN149" i="5"/>
  <c r="B8" i="4"/>
  <c r="S8" i="4"/>
  <c r="AA150" i="5"/>
  <c r="P8" i="4"/>
  <c r="W150" i="5"/>
  <c r="AG150" i="5"/>
  <c r="AF150" i="5"/>
  <c r="C8" i="4"/>
  <c r="C150" i="5"/>
  <c r="D8" i="4"/>
  <c r="E150" i="5"/>
  <c r="K150" i="5"/>
  <c r="L8" i="4"/>
  <c r="Q150" i="5"/>
  <c r="U150" i="5"/>
  <c r="Q8" i="4"/>
  <c r="X150" i="5"/>
  <c r="R8" i="4"/>
  <c r="Z150" i="5"/>
  <c r="AI8" i="4"/>
  <c r="T8" i="4" a="1"/>
  <c r="T8" i="4"/>
  <c r="AC150" i="5"/>
  <c r="U8" i="4" a="1"/>
  <c r="U8" i="4"/>
  <c r="AD150" i="5"/>
  <c r="X8" i="4"/>
  <c r="AI150" i="5"/>
  <c r="Y8" i="4"/>
  <c r="AJ150" i="5"/>
  <c r="Z8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269" i="4"/>
  <c r="C269" i="4"/>
  <c r="C151" i="5"/>
  <c r="D269" i="4"/>
  <c r="E151" i="5"/>
  <c r="E269" i="4"/>
  <c r="F151" i="5"/>
  <c r="F269" i="4"/>
  <c r="H151" i="5"/>
  <c r="I151" i="5"/>
  <c r="H269" i="4"/>
  <c r="K151" i="5"/>
  <c r="L269" i="4"/>
  <c r="Q151" i="5"/>
  <c r="M269" i="4"/>
  <c r="R151" i="5"/>
  <c r="T151" i="5"/>
  <c r="O269" i="4"/>
  <c r="U151" i="5"/>
  <c r="P269" i="4"/>
  <c r="W151" i="5"/>
  <c r="Q269" i="4"/>
  <c r="X151" i="5"/>
  <c r="AA151" i="5"/>
  <c r="AI269" i="4"/>
  <c r="T269" i="4" a="1"/>
  <c r="T269" i="4"/>
  <c r="AC151" i="5"/>
  <c r="U269" i="4" a="1"/>
  <c r="U269" i="4"/>
  <c r="AD151" i="5"/>
  <c r="X269" i="4"/>
  <c r="AI151" i="5"/>
  <c r="Y269" i="4"/>
  <c r="AJ151" i="5"/>
  <c r="Z269" i="4"/>
  <c r="AL151" i="5"/>
  <c r="L151" i="5"/>
  <c r="N151" i="5"/>
  <c r="O151" i="5"/>
  <c r="Z151" i="5"/>
  <c r="AN151" i="5"/>
  <c r="O152" i="5"/>
  <c r="B166" i="4"/>
  <c r="H166" i="4"/>
  <c r="K152" i="5"/>
  <c r="AG152" i="5"/>
  <c r="AF152" i="5"/>
  <c r="C166" i="4"/>
  <c r="C152" i="5"/>
  <c r="D166" i="4"/>
  <c r="E152" i="5"/>
  <c r="I166" i="4"/>
  <c r="L152" i="5"/>
  <c r="J166" i="4"/>
  <c r="N152" i="5"/>
  <c r="L166" i="4"/>
  <c r="Q152" i="5"/>
  <c r="M166" i="4"/>
  <c r="R152" i="5"/>
  <c r="T152" i="5"/>
  <c r="U152" i="5"/>
  <c r="P166" i="4"/>
  <c r="W152" i="5"/>
  <c r="Q166" i="4"/>
  <c r="X152" i="5"/>
  <c r="S166" i="4"/>
  <c r="AA152" i="5"/>
  <c r="AI166" i="4"/>
  <c r="T166" i="4" a="1"/>
  <c r="T166" i="4"/>
  <c r="AC152" i="5"/>
  <c r="U166" i="4" a="1"/>
  <c r="U166" i="4"/>
  <c r="AD152" i="5"/>
  <c r="X166" i="4"/>
  <c r="AI152" i="5"/>
  <c r="Y166" i="4"/>
  <c r="AJ152" i="5"/>
  <c r="Z166" i="4"/>
  <c r="AL152" i="5"/>
  <c r="F152" i="5"/>
  <c r="H152" i="5"/>
  <c r="I152" i="5"/>
  <c r="Z152" i="5"/>
  <c r="AN152" i="5"/>
  <c r="B279" i="4"/>
  <c r="S279" i="4"/>
  <c r="AA153" i="5"/>
  <c r="P279" i="4"/>
  <c r="W153" i="5"/>
  <c r="AG153" i="5"/>
  <c r="AF153" i="5"/>
  <c r="C279" i="4"/>
  <c r="C153" i="5"/>
  <c r="D279" i="4"/>
  <c r="E153" i="5"/>
  <c r="E279" i="4"/>
  <c r="F153" i="5"/>
  <c r="F279" i="4"/>
  <c r="H153" i="5"/>
  <c r="I153" i="5"/>
  <c r="K153" i="5"/>
  <c r="L279" i="4"/>
  <c r="Q153" i="5"/>
  <c r="M279" i="4"/>
  <c r="R153" i="5"/>
  <c r="T153" i="5"/>
  <c r="O279" i="4"/>
  <c r="U153" i="5"/>
  <c r="Q279" i="4"/>
  <c r="X153" i="5"/>
  <c r="R279" i="4"/>
  <c r="Z153" i="5"/>
  <c r="AI279" i="4"/>
  <c r="T279" i="4" a="1"/>
  <c r="T279" i="4"/>
  <c r="AC153" i="5"/>
  <c r="U279" i="4" a="1"/>
  <c r="U279" i="4"/>
  <c r="AD153" i="5"/>
  <c r="X279" i="4"/>
  <c r="AI153" i="5"/>
  <c r="Y279" i="4"/>
  <c r="AJ153" i="5"/>
  <c r="Z279" i="4"/>
  <c r="AL153" i="5"/>
  <c r="L153" i="5"/>
  <c r="N153" i="5"/>
  <c r="O153" i="5"/>
  <c r="AN153" i="5"/>
  <c r="O154" i="5"/>
  <c r="B168" i="4"/>
  <c r="H168" i="4"/>
  <c r="K154" i="5"/>
  <c r="AG154" i="5"/>
  <c r="AF154" i="5"/>
  <c r="C168" i="4"/>
  <c r="C154" i="5"/>
  <c r="D168" i="4"/>
  <c r="E154" i="5"/>
  <c r="I168" i="4"/>
  <c r="L154" i="5"/>
  <c r="J168" i="4"/>
  <c r="N154" i="5"/>
  <c r="L168" i="4"/>
  <c r="Q154" i="5"/>
  <c r="M168" i="4"/>
  <c r="R154" i="5"/>
  <c r="T154" i="5"/>
  <c r="U154" i="5"/>
  <c r="P168" i="4"/>
  <c r="W154" i="5"/>
  <c r="Q168" i="4"/>
  <c r="X154" i="5"/>
  <c r="S168" i="4"/>
  <c r="AA154" i="5"/>
  <c r="AI168" i="4"/>
  <c r="T168" i="4" a="1"/>
  <c r="T168" i="4"/>
  <c r="AC154" i="5"/>
  <c r="U168" i="4" a="1"/>
  <c r="U168" i="4"/>
  <c r="AD154" i="5"/>
  <c r="X168" i="4"/>
  <c r="AI154" i="5"/>
  <c r="Y168" i="4"/>
  <c r="AJ154" i="5"/>
  <c r="Z168" i="4"/>
  <c r="AL154" i="5"/>
  <c r="F154" i="5"/>
  <c r="H154" i="5"/>
  <c r="I154" i="5"/>
  <c r="Z154" i="5"/>
  <c r="AN154" i="5"/>
  <c r="AG155" i="5"/>
  <c r="AF155" i="5"/>
  <c r="B260" i="4"/>
  <c r="C260" i="4"/>
  <c r="C155" i="5"/>
  <c r="D260" i="4"/>
  <c r="E155" i="5"/>
  <c r="H260" i="4"/>
  <c r="K155" i="5"/>
  <c r="L260" i="4"/>
  <c r="Q155" i="5"/>
  <c r="M260" i="4"/>
  <c r="R155" i="5"/>
  <c r="T155" i="5"/>
  <c r="O260" i="4"/>
  <c r="U155" i="5"/>
  <c r="P260" i="4"/>
  <c r="W155" i="5"/>
  <c r="Q260" i="4"/>
  <c r="X155" i="5"/>
  <c r="AA155" i="5"/>
  <c r="AI260" i="4"/>
  <c r="T260" i="4" a="1"/>
  <c r="T260" i="4"/>
  <c r="AC155" i="5"/>
  <c r="U260" i="4" a="1"/>
  <c r="U260" i="4"/>
  <c r="AD155" i="5"/>
  <c r="X260" i="4"/>
  <c r="AI155" i="5"/>
  <c r="Y260" i="4"/>
  <c r="AJ155" i="5"/>
  <c r="Z260" i="4"/>
  <c r="AL155" i="5"/>
  <c r="F155" i="5"/>
  <c r="H155" i="5"/>
  <c r="I155" i="5"/>
  <c r="L155" i="5"/>
  <c r="N155" i="5"/>
  <c r="O155" i="5"/>
  <c r="Z155" i="5"/>
  <c r="AN155" i="5"/>
  <c r="AG156" i="5"/>
  <c r="AF156" i="5"/>
  <c r="B169" i="4"/>
  <c r="C169" i="4"/>
  <c r="C156" i="5"/>
  <c r="D169" i="4"/>
  <c r="E156" i="5"/>
  <c r="E169" i="4"/>
  <c r="F156" i="5"/>
  <c r="F169" i="4"/>
  <c r="H156" i="5"/>
  <c r="I156" i="5"/>
  <c r="H169" i="4"/>
  <c r="K156" i="5"/>
  <c r="L169" i="4"/>
  <c r="Q156" i="5"/>
  <c r="M169" i="4"/>
  <c r="R156" i="5"/>
  <c r="T156" i="5"/>
  <c r="O169" i="4"/>
  <c r="U156" i="5"/>
  <c r="P169" i="4"/>
  <c r="W156" i="5"/>
  <c r="Q169" i="4"/>
  <c r="X156" i="5"/>
  <c r="S169" i="4"/>
  <c r="AA156" i="5"/>
  <c r="AI169" i="4"/>
  <c r="T169" i="4" a="1"/>
  <c r="T169" i="4"/>
  <c r="AC156" i="5"/>
  <c r="U169" i="4" a="1"/>
  <c r="U169" i="4"/>
  <c r="AD156" i="5"/>
  <c r="X169" i="4"/>
  <c r="AI156" i="5"/>
  <c r="Y169" i="4"/>
  <c r="AJ156" i="5"/>
  <c r="Z169" i="4"/>
  <c r="AL156" i="5"/>
  <c r="L156" i="5"/>
  <c r="N156" i="5"/>
  <c r="O156" i="5"/>
  <c r="Z156" i="5"/>
  <c r="AN156" i="5"/>
  <c r="AA157" i="5"/>
  <c r="B302" i="4"/>
  <c r="P302" i="4"/>
  <c r="W157" i="5"/>
  <c r="O157" i="5"/>
  <c r="H302" i="4"/>
  <c r="K157" i="5"/>
  <c r="AG157" i="5"/>
  <c r="AF157" i="5"/>
  <c r="C302" i="4"/>
  <c r="C157" i="5"/>
  <c r="D302" i="4"/>
  <c r="E157" i="5"/>
  <c r="I302" i="4"/>
  <c r="L157" i="5"/>
  <c r="J302" i="4"/>
  <c r="N157" i="5"/>
  <c r="L302" i="4"/>
  <c r="Q157" i="5"/>
  <c r="M302" i="4"/>
  <c r="R157" i="5"/>
  <c r="T157" i="5"/>
  <c r="O302" i="4"/>
  <c r="U157" i="5"/>
  <c r="Q302" i="4"/>
  <c r="X157" i="5"/>
  <c r="R302" i="4"/>
  <c r="Z157" i="5"/>
  <c r="AI302" i="4"/>
  <c r="T302" i="4" a="1"/>
  <c r="T302" i="4"/>
  <c r="AC157" i="5"/>
  <c r="U302" i="4" a="1"/>
  <c r="U302" i="4"/>
  <c r="AD157" i="5"/>
  <c r="X302" i="4"/>
  <c r="AI157" i="5"/>
  <c r="Y302" i="4"/>
  <c r="AJ157" i="5"/>
  <c r="Z302" i="4"/>
  <c r="AL157" i="5"/>
  <c r="F157" i="5"/>
  <c r="H157" i="5"/>
  <c r="I157" i="5"/>
  <c r="AN157" i="5"/>
  <c r="AG158" i="5"/>
  <c r="AF158" i="5"/>
  <c r="B170" i="4"/>
  <c r="C170" i="4"/>
  <c r="C158" i="5"/>
  <c r="D170" i="4"/>
  <c r="E158" i="5"/>
  <c r="H170" i="4"/>
  <c r="K158" i="5"/>
  <c r="L170" i="4"/>
  <c r="Q158" i="5"/>
  <c r="M170" i="4"/>
  <c r="R158" i="5"/>
  <c r="T158" i="5"/>
  <c r="U158" i="5"/>
  <c r="P170" i="4"/>
  <c r="W158" i="5"/>
  <c r="Q170" i="4"/>
  <c r="X158" i="5"/>
  <c r="S170" i="4"/>
  <c r="AA158" i="5"/>
  <c r="AI170" i="4"/>
  <c r="T170" i="4" a="1"/>
  <c r="T170" i="4"/>
  <c r="AC158" i="5"/>
  <c r="U170" i="4" a="1"/>
  <c r="U170" i="4"/>
  <c r="AD158" i="5"/>
  <c r="X170" i="4"/>
  <c r="AI158" i="5"/>
  <c r="Y170" i="4"/>
  <c r="AJ158" i="5"/>
  <c r="Z170" i="4"/>
  <c r="AL158" i="5"/>
  <c r="F158" i="5"/>
  <c r="H158" i="5"/>
  <c r="I158" i="5"/>
  <c r="L158" i="5"/>
  <c r="N158" i="5"/>
  <c r="O158" i="5"/>
  <c r="Z158" i="5"/>
  <c r="AN158" i="5"/>
  <c r="AG159" i="5"/>
  <c r="AF159" i="5"/>
  <c r="B171" i="4"/>
  <c r="C171" i="4"/>
  <c r="C159" i="5"/>
  <c r="D171" i="4"/>
  <c r="E159" i="5"/>
  <c r="E171" i="4"/>
  <c r="F159" i="5"/>
  <c r="F171" i="4"/>
  <c r="H159" i="5"/>
  <c r="I159" i="5"/>
  <c r="H171" i="4"/>
  <c r="K159" i="5"/>
  <c r="L171" i="4"/>
  <c r="Q159" i="5"/>
  <c r="M171" i="4"/>
  <c r="R159" i="5"/>
  <c r="T159" i="5"/>
  <c r="O171" i="4"/>
  <c r="U159" i="5"/>
  <c r="P171" i="4"/>
  <c r="W159" i="5"/>
  <c r="Q171" i="4"/>
  <c r="X159" i="5"/>
  <c r="S171" i="4"/>
  <c r="AA159" i="5"/>
  <c r="AI171" i="4"/>
  <c r="T171" i="4" a="1"/>
  <c r="T171" i="4"/>
  <c r="AC159" i="5"/>
  <c r="U171" i="4" a="1"/>
  <c r="U171" i="4"/>
  <c r="AD159" i="5"/>
  <c r="X171" i="4"/>
  <c r="AI159" i="5"/>
  <c r="Y171" i="4"/>
  <c r="AJ159" i="5"/>
  <c r="Z171" i="4"/>
  <c r="AL159" i="5"/>
  <c r="L159" i="5"/>
  <c r="N159" i="5"/>
  <c r="O159" i="5"/>
  <c r="Z159" i="5"/>
  <c r="AN159" i="5"/>
  <c r="AG160" i="5"/>
  <c r="AF160" i="5"/>
  <c r="B172" i="4"/>
  <c r="C172" i="4"/>
  <c r="C160" i="5"/>
  <c r="D172" i="4"/>
  <c r="E160" i="5"/>
  <c r="E172" i="4"/>
  <c r="F160" i="5"/>
  <c r="F172" i="4"/>
  <c r="H160" i="5"/>
  <c r="I160" i="5"/>
  <c r="H172" i="4"/>
  <c r="K160" i="5"/>
  <c r="L172" i="4"/>
  <c r="Q160" i="5"/>
  <c r="M172" i="4"/>
  <c r="R160" i="5"/>
  <c r="T160" i="5"/>
  <c r="O172" i="4"/>
  <c r="U160" i="5"/>
  <c r="P172" i="4"/>
  <c r="W160" i="5"/>
  <c r="Q172" i="4"/>
  <c r="X160" i="5"/>
  <c r="S172" i="4"/>
  <c r="AA160" i="5"/>
  <c r="AI172" i="4"/>
  <c r="T172" i="4" a="1"/>
  <c r="T172" i="4"/>
  <c r="AC160" i="5"/>
  <c r="U172" i="4" a="1"/>
  <c r="U172" i="4"/>
  <c r="AD160" i="5"/>
  <c r="X172" i="4"/>
  <c r="AI160" i="5"/>
  <c r="Y172" i="4"/>
  <c r="AJ160" i="5"/>
  <c r="Z172" i="4"/>
  <c r="AL160" i="5"/>
  <c r="L160" i="5"/>
  <c r="N160" i="5"/>
  <c r="O160" i="5"/>
  <c r="Z160" i="5"/>
  <c r="AN160" i="5"/>
  <c r="AG161" i="5"/>
  <c r="AF161" i="5"/>
  <c r="B173" i="4"/>
  <c r="C173" i="4"/>
  <c r="C161" i="5"/>
  <c r="D173" i="4"/>
  <c r="E161" i="5"/>
  <c r="E173" i="4"/>
  <c r="F161" i="5"/>
  <c r="F173" i="4"/>
  <c r="H161" i="5"/>
  <c r="I161" i="5"/>
  <c r="H173" i="4"/>
  <c r="K161" i="5"/>
  <c r="L173" i="4"/>
  <c r="Q161" i="5"/>
  <c r="M173" i="4"/>
  <c r="R161" i="5"/>
  <c r="T161" i="5"/>
  <c r="O173" i="4"/>
  <c r="U161" i="5"/>
  <c r="P173" i="4"/>
  <c r="W161" i="5"/>
  <c r="Q173" i="4"/>
  <c r="X161" i="5"/>
  <c r="S173" i="4"/>
  <c r="AA161" i="5"/>
  <c r="AI173" i="4"/>
  <c r="T173" i="4" a="1"/>
  <c r="T173" i="4"/>
  <c r="AC161" i="5"/>
  <c r="U173" i="4" a="1"/>
  <c r="U173" i="4"/>
  <c r="AD161" i="5"/>
  <c r="X173" i="4"/>
  <c r="AI161" i="5"/>
  <c r="Y173" i="4"/>
  <c r="AJ161" i="5"/>
  <c r="Z173" i="4"/>
  <c r="AL161" i="5"/>
  <c r="L161" i="5"/>
  <c r="N161" i="5"/>
  <c r="O161" i="5"/>
  <c r="Z161" i="5"/>
  <c r="AN161" i="5"/>
  <c r="AG162" i="5"/>
  <c r="AF162" i="5"/>
  <c r="B174" i="4"/>
  <c r="C174" i="4"/>
  <c r="C162" i="5"/>
  <c r="D174" i="4"/>
  <c r="E162" i="5"/>
  <c r="H174" i="4"/>
  <c r="K162" i="5"/>
  <c r="L174" i="4"/>
  <c r="Q162" i="5"/>
  <c r="M174" i="4"/>
  <c r="R162" i="5"/>
  <c r="N174" i="4"/>
  <c r="T162" i="5"/>
  <c r="O174" i="4"/>
  <c r="U162" i="5"/>
  <c r="P174" i="4"/>
  <c r="W162" i="5"/>
  <c r="Q174" i="4"/>
  <c r="X162" i="5"/>
  <c r="AA162" i="5"/>
  <c r="AI174" i="4"/>
  <c r="T174" i="4" a="1"/>
  <c r="T174" i="4"/>
  <c r="AC162" i="5"/>
  <c r="U174" i="4" a="1"/>
  <c r="U174" i="4"/>
  <c r="AD162" i="5"/>
  <c r="X174" i="4"/>
  <c r="AI162" i="5"/>
  <c r="Y174" i="4"/>
  <c r="AJ162" i="5"/>
  <c r="Z174" i="4"/>
  <c r="AL162" i="5"/>
  <c r="F162" i="5"/>
  <c r="H162" i="5"/>
  <c r="I162" i="5"/>
  <c r="L162" i="5"/>
  <c r="N162" i="5"/>
  <c r="O162" i="5"/>
  <c r="Z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U163" i="5"/>
  <c r="P175" i="4"/>
  <c r="W163" i="5"/>
  <c r="Q175" i="4"/>
  <c r="X163" i="5"/>
  <c r="AA163" i="5"/>
  <c r="AI175" i="4"/>
  <c r="T175" i="4" a="1"/>
  <c r="T175" i="4"/>
  <c r="AC163" i="5"/>
  <c r="U175" i="4" a="1"/>
  <c r="U175" i="4"/>
  <c r="AD163" i="5"/>
  <c r="Y175" i="4"/>
  <c r="AJ163" i="5"/>
  <c r="Z175" i="4"/>
  <c r="AL163" i="5"/>
  <c r="F163" i="5"/>
  <c r="H163" i="5"/>
  <c r="I163" i="5"/>
  <c r="L163" i="5"/>
  <c r="N163" i="5"/>
  <c r="O163" i="5"/>
  <c r="Z163" i="5"/>
  <c r="AN163" i="5"/>
  <c r="AG164" i="5"/>
  <c r="AF164" i="5"/>
  <c r="B177" i="4"/>
  <c r="C177" i="4"/>
  <c r="C164" i="5"/>
  <c r="D177" i="4"/>
  <c r="E164" i="5"/>
  <c r="H177" i="4"/>
  <c r="K164" i="5"/>
  <c r="L177" i="4"/>
  <c r="Q164" i="5"/>
  <c r="M177" i="4"/>
  <c r="R164" i="5"/>
  <c r="T164" i="5"/>
  <c r="O177" i="4"/>
  <c r="U164" i="5"/>
  <c r="P177" i="4"/>
  <c r="W164" i="5"/>
  <c r="Q177" i="4"/>
  <c r="X164" i="5"/>
  <c r="S177" i="4"/>
  <c r="AA164" i="5"/>
  <c r="AI177" i="4"/>
  <c r="T177" i="4" a="1"/>
  <c r="T177" i="4"/>
  <c r="AC164" i="5"/>
  <c r="U177" i="4" a="1"/>
  <c r="U177" i="4"/>
  <c r="AD164" i="5"/>
  <c r="X177" i="4"/>
  <c r="AI164" i="5"/>
  <c r="Y177" i="4"/>
  <c r="AJ164" i="5"/>
  <c r="Z177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294" i="4"/>
  <c r="C294" i="4"/>
  <c r="C165" i="5"/>
  <c r="D294" i="4"/>
  <c r="E165" i="5"/>
  <c r="E294" i="4"/>
  <c r="F165" i="5"/>
  <c r="F294" i="4"/>
  <c r="H165" i="5"/>
  <c r="I165" i="5"/>
  <c r="I294" i="4"/>
  <c r="L165" i="5"/>
  <c r="J294" i="4"/>
  <c r="N165" i="5"/>
  <c r="L294" i="4"/>
  <c r="Q165" i="5"/>
  <c r="M294" i="4"/>
  <c r="R165" i="5"/>
  <c r="T165" i="5"/>
  <c r="O294" i="4"/>
  <c r="U165" i="5"/>
  <c r="P294" i="4"/>
  <c r="W165" i="5"/>
  <c r="Q294" i="4"/>
  <c r="X165" i="5"/>
  <c r="S294" i="4"/>
  <c r="AA165" i="5"/>
  <c r="AI294" i="4"/>
  <c r="T294" i="4" a="1"/>
  <c r="T294" i="4"/>
  <c r="AC165" i="5"/>
  <c r="U294" i="4" a="1"/>
  <c r="U294" i="4"/>
  <c r="AD165" i="5"/>
  <c r="X294" i="4"/>
  <c r="AI165" i="5"/>
  <c r="Y294" i="4"/>
  <c r="AJ165" i="5"/>
  <c r="Z294" i="4"/>
  <c r="AL165" i="5"/>
  <c r="Z165" i="5"/>
  <c r="AN165" i="5"/>
  <c r="O166" i="5"/>
  <c r="B295" i="4"/>
  <c r="H295" i="4"/>
  <c r="K166" i="5"/>
  <c r="AG166" i="5"/>
  <c r="AF166" i="5"/>
  <c r="C295" i="4"/>
  <c r="C166" i="5"/>
  <c r="D295" i="4"/>
  <c r="E166" i="5"/>
  <c r="E295" i="4"/>
  <c r="F166" i="5"/>
  <c r="F295" i="4"/>
  <c r="H166" i="5"/>
  <c r="I166" i="5"/>
  <c r="L166" i="5"/>
  <c r="J295" i="4"/>
  <c r="N166" i="5"/>
  <c r="L295" i="4"/>
  <c r="Q166" i="5"/>
  <c r="M295" i="4"/>
  <c r="R166" i="5"/>
  <c r="T166" i="5"/>
  <c r="O295" i="4"/>
  <c r="U166" i="5"/>
  <c r="P295" i="4"/>
  <c r="W166" i="5"/>
  <c r="Q295" i="4"/>
  <c r="X166" i="5"/>
  <c r="S295" i="4"/>
  <c r="AA166" i="5"/>
  <c r="AI295" i="4"/>
  <c r="T295" i="4" a="1"/>
  <c r="T295" i="4"/>
  <c r="AC166" i="5"/>
  <c r="U295" i="4" a="1"/>
  <c r="U295" i="4"/>
  <c r="AD166" i="5"/>
  <c r="X295" i="4"/>
  <c r="AI166" i="5"/>
  <c r="Y295" i="4"/>
  <c r="AJ166" i="5"/>
  <c r="Z295" i="4"/>
  <c r="AL166" i="5"/>
  <c r="Z166" i="5"/>
  <c r="AN166" i="5"/>
  <c r="O167" i="5"/>
  <c r="B296" i="4"/>
  <c r="H296" i="4"/>
  <c r="K167" i="5"/>
  <c r="AG167" i="5"/>
  <c r="AF167" i="5"/>
  <c r="C296" i="4"/>
  <c r="C167" i="5"/>
  <c r="D296" i="4"/>
  <c r="E167" i="5"/>
  <c r="E296" i="4"/>
  <c r="F167" i="5"/>
  <c r="F296" i="4"/>
  <c r="H167" i="5"/>
  <c r="I167" i="5"/>
  <c r="I296" i="4"/>
  <c r="L167" i="5"/>
  <c r="J296" i="4"/>
  <c r="N167" i="5"/>
  <c r="L296" i="4"/>
  <c r="Q167" i="5"/>
  <c r="M296" i="4"/>
  <c r="R167" i="5"/>
  <c r="T167" i="5"/>
  <c r="O296" i="4"/>
  <c r="U167" i="5"/>
  <c r="P296" i="4"/>
  <c r="W167" i="5"/>
  <c r="Q296" i="4"/>
  <c r="X167" i="5"/>
  <c r="AA167" i="5"/>
  <c r="AI296" i="4"/>
  <c r="T296" i="4" a="1"/>
  <c r="T296" i="4"/>
  <c r="AC167" i="5"/>
  <c r="U296" i="4" a="1"/>
  <c r="U296" i="4"/>
  <c r="AD167" i="5"/>
  <c r="AI167" i="5"/>
  <c r="Y296" i="4"/>
  <c r="AJ167" i="5"/>
  <c r="Z296" i="4"/>
  <c r="AL167" i="5"/>
  <c r="Z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I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F168" i="5"/>
  <c r="H168" i="5"/>
  <c r="I168" i="5"/>
  <c r="L168" i="5"/>
  <c r="N168" i="5"/>
  <c r="O168" i="5"/>
  <c r="Z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U169" i="5"/>
  <c r="P58" i="4"/>
  <c r="W169" i="5"/>
  <c r="Q58" i="4"/>
  <c r="X169" i="5"/>
  <c r="S58" i="4"/>
  <c r="AA169" i="5"/>
  <c r="AI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F169" i="5"/>
  <c r="H169" i="5"/>
  <c r="I169" i="5"/>
  <c r="L169" i="5"/>
  <c r="N169" i="5"/>
  <c r="O169" i="5"/>
  <c r="Z169" i="5"/>
  <c r="AN169" i="5"/>
  <c r="AG170" i="5"/>
  <c r="AF170" i="5"/>
  <c r="B59" i="4"/>
  <c r="C59" i="4"/>
  <c r="C170" i="5"/>
  <c r="E170" i="5"/>
  <c r="K170" i="5"/>
  <c r="L59" i="4"/>
  <c r="Q170" i="5"/>
  <c r="M59" i="4"/>
  <c r="R170" i="5"/>
  <c r="T170" i="5"/>
  <c r="O59" i="4"/>
  <c r="U170" i="5"/>
  <c r="P59" i="4"/>
  <c r="W170" i="5"/>
  <c r="Q59" i="4"/>
  <c r="X170" i="5"/>
  <c r="S59" i="4"/>
  <c r="AA170" i="5"/>
  <c r="AI59" i="4"/>
  <c r="T59" i="4" a="1"/>
  <c r="T59" i="4"/>
  <c r="AC170" i="5"/>
  <c r="U59" i="4" a="1"/>
  <c r="U59" i="4"/>
  <c r="AD170" i="5"/>
  <c r="X59" i="4"/>
  <c r="AI170" i="5"/>
  <c r="Y59" i="4"/>
  <c r="AJ170" i="5"/>
  <c r="Z59" i="4"/>
  <c r="AL170" i="5"/>
  <c r="F170" i="5"/>
  <c r="H170" i="5"/>
  <c r="I170" i="5"/>
  <c r="L170" i="5"/>
  <c r="N170" i="5"/>
  <c r="O170" i="5"/>
  <c r="Z170" i="5"/>
  <c r="AN170" i="5"/>
  <c r="AG171" i="5"/>
  <c r="AF171" i="5"/>
  <c r="B297" i="4"/>
  <c r="C297" i="4"/>
  <c r="C171" i="5"/>
  <c r="D297" i="4"/>
  <c r="E171" i="5"/>
  <c r="H297" i="4"/>
  <c r="K171" i="5"/>
  <c r="L297" i="4"/>
  <c r="Q171" i="5"/>
  <c r="M297" i="4"/>
  <c r="R171" i="5"/>
  <c r="T171" i="5"/>
  <c r="O297" i="4"/>
  <c r="U171" i="5"/>
  <c r="P297" i="4"/>
  <c r="W171" i="5"/>
  <c r="Q297" i="4"/>
  <c r="X171" i="5"/>
  <c r="S297" i="4"/>
  <c r="AA171" i="5"/>
  <c r="AI297" i="4"/>
  <c r="T297" i="4" a="1"/>
  <c r="T297" i="4"/>
  <c r="AC171" i="5"/>
  <c r="U297" i="4" a="1"/>
  <c r="U297" i="4"/>
  <c r="AD171" i="5"/>
  <c r="X297" i="4"/>
  <c r="AI171" i="5"/>
  <c r="Y297" i="4"/>
  <c r="AJ171" i="5"/>
  <c r="Z297" i="4"/>
  <c r="AL171" i="5"/>
  <c r="F171" i="5"/>
  <c r="H171" i="5"/>
  <c r="I171" i="5"/>
  <c r="L171" i="5"/>
  <c r="N171" i="5"/>
  <c r="O171" i="5"/>
  <c r="Z171" i="5"/>
  <c r="AN171" i="5"/>
  <c r="F172" i="5"/>
  <c r="H172" i="5"/>
  <c r="I172" i="5"/>
  <c r="L172" i="5"/>
  <c r="N172" i="5"/>
  <c r="O172" i="5"/>
  <c r="Z172" i="5"/>
  <c r="AG173" i="5"/>
  <c r="AF173" i="5"/>
  <c r="B61" i="4"/>
  <c r="C61" i="4"/>
  <c r="C173" i="5"/>
  <c r="D61" i="4"/>
  <c r="E173" i="5"/>
  <c r="K173" i="5"/>
  <c r="L61" i="4"/>
  <c r="Q173" i="5"/>
  <c r="M61" i="4"/>
  <c r="R173" i="5"/>
  <c r="T173" i="5"/>
  <c r="U173" i="5"/>
  <c r="P61" i="4"/>
  <c r="W173" i="5"/>
  <c r="Q61" i="4"/>
  <c r="X173" i="5"/>
  <c r="AA173" i="5"/>
  <c r="AI61" i="4"/>
  <c r="T61" i="4" a="1"/>
  <c r="T61" i="4"/>
  <c r="AC173" i="5"/>
  <c r="U61" i="4" a="1"/>
  <c r="U61" i="4"/>
  <c r="AD173" i="5"/>
  <c r="AI173" i="5"/>
  <c r="Y61" i="4"/>
  <c r="AJ173" i="5"/>
  <c r="Z61" i="4"/>
  <c r="AL173" i="5"/>
  <c r="F173" i="5"/>
  <c r="H173" i="5"/>
  <c r="I173" i="5"/>
  <c r="L173" i="5"/>
  <c r="N173" i="5"/>
  <c r="O173" i="5"/>
  <c r="Z173" i="5"/>
  <c r="AN173" i="5"/>
  <c r="B261" i="4"/>
  <c r="S261" i="4"/>
  <c r="AA174" i="5"/>
  <c r="P261" i="4"/>
  <c r="W174" i="5"/>
  <c r="O174" i="5"/>
  <c r="K174" i="5"/>
  <c r="AG174" i="5"/>
  <c r="AF174" i="5"/>
  <c r="C261" i="4"/>
  <c r="C174" i="5"/>
  <c r="D261" i="4"/>
  <c r="E174" i="5"/>
  <c r="E261" i="4"/>
  <c r="F174" i="5"/>
  <c r="F261" i="4"/>
  <c r="H174" i="5"/>
  <c r="I174" i="5"/>
  <c r="L261" i="4"/>
  <c r="Q174" i="5"/>
  <c r="M261" i="4"/>
  <c r="R174" i="5"/>
  <c r="T174" i="5"/>
  <c r="O261" i="4"/>
  <c r="U174" i="5"/>
  <c r="Q261" i="4"/>
  <c r="X174" i="5"/>
  <c r="R261" i="4"/>
  <c r="Z174" i="5"/>
  <c r="AI261" i="4"/>
  <c r="T261" i="4" a="1"/>
  <c r="T261" i="4"/>
  <c r="AC174" i="5"/>
  <c r="U261" i="4" a="1"/>
  <c r="U261" i="4"/>
  <c r="AD174" i="5"/>
  <c r="X261" i="4"/>
  <c r="AI174" i="5"/>
  <c r="Y261" i="4"/>
  <c r="AJ174" i="5"/>
  <c r="Z261" i="4"/>
  <c r="AL174" i="5"/>
  <c r="AN174" i="5"/>
  <c r="B178" i="4"/>
  <c r="S178" i="4"/>
  <c r="AA175" i="5"/>
  <c r="P178" i="4"/>
  <c r="W175" i="5"/>
  <c r="O175" i="5"/>
  <c r="K175" i="5"/>
  <c r="AG175" i="5"/>
  <c r="AF175" i="5"/>
  <c r="C178" i="4"/>
  <c r="C175" i="5"/>
  <c r="D178" i="4"/>
  <c r="E175" i="5"/>
  <c r="E178" i="4"/>
  <c r="F175" i="5"/>
  <c r="F178" i="4"/>
  <c r="H175" i="5"/>
  <c r="I175" i="5"/>
  <c r="I178" i="4"/>
  <c r="L175" i="5"/>
  <c r="J178" i="4"/>
  <c r="N175" i="5"/>
  <c r="L178" i="4"/>
  <c r="Q175" i="5"/>
  <c r="M178" i="4"/>
  <c r="R175" i="5"/>
  <c r="T175" i="5"/>
  <c r="U175" i="5"/>
  <c r="Q178" i="4"/>
  <c r="X175" i="5"/>
  <c r="R178" i="4"/>
  <c r="Z175" i="5"/>
  <c r="AI178" i="4"/>
  <c r="T178" i="4" a="1"/>
  <c r="T178" i="4"/>
  <c r="AC175" i="5"/>
  <c r="U178" i="4" a="1"/>
  <c r="U178" i="4"/>
  <c r="AD175" i="5"/>
  <c r="X178" i="4"/>
  <c r="AI175" i="5"/>
  <c r="Y178" i="4"/>
  <c r="AJ175" i="5"/>
  <c r="Z178" i="4"/>
  <c r="AL175" i="5"/>
  <c r="AN175" i="5"/>
  <c r="H176" i="5"/>
  <c r="I176" i="5"/>
  <c r="H177" i="5"/>
  <c r="I177" i="5"/>
  <c r="H178" i="5"/>
  <c r="I178" i="5"/>
  <c r="AG179" i="5"/>
  <c r="AF179" i="5"/>
  <c r="B179" i="4"/>
  <c r="C179" i="4"/>
  <c r="C179" i="5"/>
  <c r="D179" i="4"/>
  <c r="E179" i="5"/>
  <c r="H179" i="4"/>
  <c r="K179" i="5"/>
  <c r="L179" i="4"/>
  <c r="Q179" i="5"/>
  <c r="M179" i="4"/>
  <c r="R179" i="5"/>
  <c r="T179" i="5"/>
  <c r="U179" i="5"/>
  <c r="P179" i="4"/>
  <c r="W179" i="5"/>
  <c r="Q179" i="4"/>
  <c r="X179" i="5"/>
  <c r="S179" i="4"/>
  <c r="AA179" i="5"/>
  <c r="AI179" i="4"/>
  <c r="T179" i="4" a="1"/>
  <c r="T179" i="4"/>
  <c r="AC179" i="5"/>
  <c r="U179" i="4" a="1"/>
  <c r="U179" i="4"/>
  <c r="AD179" i="5"/>
  <c r="X179" i="4"/>
  <c r="AI179" i="5"/>
  <c r="Y179" i="4"/>
  <c r="AJ179" i="5"/>
  <c r="Z179" i="4"/>
  <c r="AL179" i="5"/>
  <c r="F179" i="5"/>
  <c r="L179" i="5"/>
  <c r="N179" i="5"/>
  <c r="O179" i="5"/>
  <c r="Z179" i="5"/>
  <c r="H179" i="5"/>
  <c r="I179" i="5"/>
  <c r="AN179" i="5"/>
  <c r="AG180" i="5"/>
  <c r="AF180" i="5"/>
  <c r="B180" i="4"/>
  <c r="C180" i="4"/>
  <c r="C180" i="5"/>
  <c r="D180" i="4"/>
  <c r="E180" i="5"/>
  <c r="E180" i="4"/>
  <c r="F180" i="5"/>
  <c r="F180" i="4"/>
  <c r="H180" i="5"/>
  <c r="I180" i="5"/>
  <c r="H180" i="4"/>
  <c r="K180" i="5"/>
  <c r="L180" i="4"/>
  <c r="Q180" i="5"/>
  <c r="M180" i="4"/>
  <c r="R180" i="5"/>
  <c r="T180" i="5"/>
  <c r="O180" i="4"/>
  <c r="U180" i="5"/>
  <c r="P180" i="4"/>
  <c r="W180" i="5"/>
  <c r="Q180" i="4"/>
  <c r="X180" i="5"/>
  <c r="S180" i="4"/>
  <c r="AA180" i="5"/>
  <c r="AI180" i="4"/>
  <c r="T180" i="4" a="1"/>
  <c r="T180" i="4"/>
  <c r="AC180" i="5"/>
  <c r="U180" i="4" a="1"/>
  <c r="U180" i="4"/>
  <c r="AD180" i="5"/>
  <c r="X180" i="4"/>
  <c r="AI180" i="5"/>
  <c r="Y180" i="4"/>
  <c r="AJ180" i="5"/>
  <c r="Z180" i="4"/>
  <c r="AL180" i="5"/>
  <c r="L180" i="5"/>
  <c r="N180" i="5"/>
  <c r="O180" i="5"/>
  <c r="Z180" i="5"/>
  <c r="AN180" i="5"/>
  <c r="B62" i="4"/>
  <c r="S62" i="4"/>
  <c r="AA181" i="5"/>
  <c r="P62" i="4"/>
  <c r="W181" i="5"/>
  <c r="O181" i="5"/>
  <c r="K181" i="5"/>
  <c r="AG181" i="5"/>
  <c r="AF181" i="5"/>
  <c r="C62" i="4"/>
  <c r="C181" i="5"/>
  <c r="D62" i="4"/>
  <c r="E181" i="5"/>
  <c r="E62" i="4"/>
  <c r="F181" i="5"/>
  <c r="F62" i="4"/>
  <c r="H181" i="5"/>
  <c r="I181" i="5"/>
  <c r="I62" i="4"/>
  <c r="L181" i="5"/>
  <c r="J62" i="4"/>
  <c r="N181" i="5"/>
  <c r="L62" i="4"/>
  <c r="Q181" i="5"/>
  <c r="M62" i="4"/>
  <c r="R181" i="5"/>
  <c r="T181" i="5"/>
  <c r="U181" i="5"/>
  <c r="Q62" i="4"/>
  <c r="X181" i="5"/>
  <c r="R62" i="4"/>
  <c r="Z181" i="5"/>
  <c r="AI62" i="4"/>
  <c r="T62" i="4" a="1"/>
  <c r="T62" i="4"/>
  <c r="AC181" i="5"/>
  <c r="U62" i="4" a="1"/>
  <c r="U62" i="4"/>
  <c r="AD181" i="5"/>
  <c r="AI181" i="5"/>
  <c r="Y62" i="4"/>
  <c r="AJ181" i="5"/>
  <c r="Z62" i="4"/>
  <c r="AL181" i="5"/>
  <c r="AN181" i="5"/>
  <c r="B181" i="4"/>
  <c r="S181" i="4"/>
  <c r="AA182" i="5"/>
  <c r="P181" i="4"/>
  <c r="W182" i="5"/>
  <c r="O182" i="5"/>
  <c r="H181" i="4"/>
  <c r="K182" i="5"/>
  <c r="AG182" i="5"/>
  <c r="AF182" i="5"/>
  <c r="C181" i="4"/>
  <c r="C182" i="5"/>
  <c r="D181" i="4"/>
  <c r="E182" i="5"/>
  <c r="E181" i="4"/>
  <c r="F182" i="5"/>
  <c r="F181" i="4"/>
  <c r="H182" i="5"/>
  <c r="I182" i="5"/>
  <c r="I181" i="4"/>
  <c r="L182" i="5"/>
  <c r="J181" i="4"/>
  <c r="N182" i="5"/>
  <c r="L181" i="4"/>
  <c r="Q182" i="5"/>
  <c r="M181" i="4"/>
  <c r="R182" i="5"/>
  <c r="T182" i="5"/>
  <c r="U182" i="5"/>
  <c r="Q181" i="4"/>
  <c r="X182" i="5"/>
  <c r="R181" i="4"/>
  <c r="Z182" i="5"/>
  <c r="AI181" i="4"/>
  <c r="T181" i="4" a="1"/>
  <c r="T181" i="4"/>
  <c r="AC182" i="5"/>
  <c r="U181" i="4" a="1"/>
  <c r="U181" i="4"/>
  <c r="AD182" i="5"/>
  <c r="X181" i="4"/>
  <c r="AI182" i="5"/>
  <c r="Y181" i="4"/>
  <c r="AJ182" i="5"/>
  <c r="Z181" i="4"/>
  <c r="AL182" i="5"/>
  <c r="AN182" i="5"/>
  <c r="B182" i="4"/>
  <c r="S182" i="4"/>
  <c r="AA183" i="5"/>
  <c r="P182" i="4"/>
  <c r="W183" i="5"/>
  <c r="O183" i="5"/>
  <c r="H182" i="4"/>
  <c r="K183" i="5"/>
  <c r="AG183" i="5"/>
  <c r="AF183" i="5"/>
  <c r="C182" i="4"/>
  <c r="C183" i="5"/>
  <c r="D182" i="4"/>
  <c r="E183" i="5"/>
  <c r="E182" i="4"/>
  <c r="F183" i="5"/>
  <c r="F182" i="4"/>
  <c r="H183" i="5"/>
  <c r="I183" i="5"/>
  <c r="I182" i="4"/>
  <c r="L183" i="5"/>
  <c r="J182" i="4"/>
  <c r="N183" i="5"/>
  <c r="L182" i="4"/>
  <c r="Q183" i="5"/>
  <c r="M182" i="4"/>
  <c r="R183" i="5"/>
  <c r="T183" i="5"/>
  <c r="U183" i="5"/>
  <c r="Q182" i="4"/>
  <c r="X183" i="5"/>
  <c r="R182" i="4"/>
  <c r="Z183" i="5"/>
  <c r="AI182" i="4"/>
  <c r="T182" i="4" a="1"/>
  <c r="T182" i="4"/>
  <c r="AC183" i="5"/>
  <c r="U182" i="4" a="1"/>
  <c r="U182" i="4"/>
  <c r="AD183" i="5"/>
  <c r="AI183" i="5"/>
  <c r="Y182" i="4"/>
  <c r="AJ183" i="5"/>
  <c r="Z182" i="4"/>
  <c r="AL183" i="5"/>
  <c r="AN183" i="5"/>
  <c r="B3" i="4"/>
  <c r="S3" i="4"/>
  <c r="AA184" i="5"/>
  <c r="P3" i="4"/>
  <c r="W184" i="5"/>
  <c r="O184" i="5"/>
  <c r="K184" i="5"/>
  <c r="AG184" i="5"/>
  <c r="AF184" i="5"/>
  <c r="C3" i="4"/>
  <c r="C184" i="5"/>
  <c r="D3" i="4"/>
  <c r="E184" i="5"/>
  <c r="E3" i="4"/>
  <c r="F184" i="5"/>
  <c r="F3" i="4"/>
  <c r="H184" i="5"/>
  <c r="I184" i="5"/>
  <c r="I3" i="4"/>
  <c r="L184" i="5"/>
  <c r="J3" i="4"/>
  <c r="N184" i="5"/>
  <c r="L3" i="4"/>
  <c r="Q184" i="5"/>
  <c r="M3" i="4"/>
  <c r="R184" i="5"/>
  <c r="T184" i="5"/>
  <c r="U184" i="5"/>
  <c r="Q3" i="4"/>
  <c r="X184" i="5"/>
  <c r="R3" i="4"/>
  <c r="Z184" i="5"/>
  <c r="AI3" i="4"/>
  <c r="T3" i="4" a="1"/>
  <c r="T3" i="4"/>
  <c r="AC184" i="5"/>
  <c r="U3" i="4" a="1"/>
  <c r="U3" i="4"/>
  <c r="AD184" i="5"/>
  <c r="X3" i="4"/>
  <c r="AI184" i="5"/>
  <c r="Y3" i="4"/>
  <c r="AJ184" i="5"/>
  <c r="Z3" i="4"/>
  <c r="AL184" i="5"/>
  <c r="AN184" i="5"/>
  <c r="B9" i="4"/>
  <c r="S9" i="4"/>
  <c r="AA185" i="5"/>
  <c r="P9" i="4"/>
  <c r="W185" i="5"/>
  <c r="O185" i="5"/>
  <c r="K185" i="5"/>
  <c r="AG185" i="5"/>
  <c r="AF185" i="5"/>
  <c r="C9" i="4"/>
  <c r="C185" i="5"/>
  <c r="D9" i="4"/>
  <c r="E185" i="5"/>
  <c r="E9" i="4"/>
  <c r="F185" i="5"/>
  <c r="F9" i="4"/>
  <c r="H185" i="5"/>
  <c r="I185" i="5"/>
  <c r="I9" i="4"/>
  <c r="L185" i="5"/>
  <c r="J9" i="4"/>
  <c r="N185" i="5"/>
  <c r="L9" i="4"/>
  <c r="Q185" i="5"/>
  <c r="M9" i="4"/>
  <c r="R185" i="5"/>
  <c r="T185" i="5"/>
  <c r="U185" i="5"/>
  <c r="Q9" i="4"/>
  <c r="X185" i="5"/>
  <c r="R9" i="4"/>
  <c r="Z185" i="5"/>
  <c r="AI9" i="4"/>
  <c r="T9" i="4" a="1"/>
  <c r="T9" i="4"/>
  <c r="AC185" i="5"/>
  <c r="U9" i="4" a="1"/>
  <c r="U9" i="4"/>
  <c r="AD185" i="5"/>
  <c r="X9" i="4"/>
  <c r="AI185" i="5"/>
  <c r="Y9" i="4"/>
  <c r="AJ185" i="5"/>
  <c r="Z9" i="4"/>
  <c r="AL185" i="5"/>
  <c r="AN185" i="5"/>
  <c r="S183" i="4"/>
  <c r="AA186" i="5"/>
  <c r="P183" i="4"/>
  <c r="W186" i="5"/>
  <c r="O186" i="5"/>
  <c r="H183" i="4"/>
  <c r="K186" i="5"/>
  <c r="AG186" i="5"/>
  <c r="AF186" i="5"/>
  <c r="C183" i="4"/>
  <c r="C186" i="5"/>
  <c r="D183" i="4"/>
  <c r="E186" i="5"/>
  <c r="E183" i="4"/>
  <c r="F186" i="5"/>
  <c r="F183" i="4"/>
  <c r="H186" i="5"/>
  <c r="I186" i="5"/>
  <c r="I183" i="4"/>
  <c r="L186" i="5"/>
  <c r="J183" i="4"/>
  <c r="N186" i="5"/>
  <c r="L183" i="4"/>
  <c r="Q186" i="5"/>
  <c r="M183" i="4"/>
  <c r="R186" i="5"/>
  <c r="T186" i="5"/>
  <c r="O183" i="4"/>
  <c r="U186" i="5"/>
  <c r="Q183" i="4"/>
  <c r="X186" i="5"/>
  <c r="R183" i="4"/>
  <c r="Z186" i="5"/>
  <c r="AI183" i="4"/>
  <c r="T183" i="4" a="1"/>
  <c r="T183" i="4"/>
  <c r="AC186" i="5"/>
  <c r="U183" i="4" a="1"/>
  <c r="U183" i="4"/>
  <c r="AD186" i="5"/>
  <c r="AI186" i="5"/>
  <c r="Y183" i="4"/>
  <c r="AJ186" i="5"/>
  <c r="Z183" i="4"/>
  <c r="AL186" i="5"/>
  <c r="AN186" i="5"/>
  <c r="S10" i="4"/>
  <c r="AA187" i="5"/>
  <c r="P10" i="4"/>
  <c r="W187" i="5"/>
  <c r="O187" i="5"/>
  <c r="K187" i="5"/>
  <c r="AG187" i="5"/>
  <c r="AF187" i="5"/>
  <c r="C10" i="4"/>
  <c r="C187" i="5"/>
  <c r="D10" i="4"/>
  <c r="E187" i="5"/>
  <c r="E10" i="4"/>
  <c r="F187" i="5"/>
  <c r="F10" i="4"/>
  <c r="H187" i="5"/>
  <c r="I187" i="5"/>
  <c r="I10" i="4"/>
  <c r="L187" i="5"/>
  <c r="J10" i="4"/>
  <c r="N187" i="5"/>
  <c r="L10" i="4"/>
  <c r="Q187" i="5"/>
  <c r="M10" i="4"/>
  <c r="R187" i="5"/>
  <c r="T187" i="5"/>
  <c r="U187" i="5"/>
  <c r="Q10" i="4"/>
  <c r="X187" i="5"/>
  <c r="R10" i="4"/>
  <c r="Z187" i="5"/>
  <c r="AI10" i="4"/>
  <c r="T10" i="4" a="1"/>
  <c r="T10" i="4"/>
  <c r="AC187" i="5"/>
  <c r="U10" i="4" a="1"/>
  <c r="U10" i="4"/>
  <c r="AD187" i="5"/>
  <c r="X10" i="4"/>
  <c r="AI187" i="5"/>
  <c r="Y10" i="4"/>
  <c r="AJ187" i="5"/>
  <c r="Z10" i="4"/>
  <c r="AL187" i="5"/>
  <c r="AN187" i="5"/>
  <c r="S11" i="4"/>
  <c r="AA188" i="5"/>
  <c r="P11" i="4"/>
  <c r="W188" i="5"/>
  <c r="O188" i="5"/>
  <c r="K188" i="5"/>
  <c r="AG188" i="5"/>
  <c r="AF188" i="5"/>
  <c r="C11" i="4"/>
  <c r="C188" i="5"/>
  <c r="D11" i="4"/>
  <c r="E188" i="5"/>
  <c r="E11" i="4"/>
  <c r="F188" i="5"/>
  <c r="F11" i="4"/>
  <c r="H188" i="5"/>
  <c r="I188" i="5"/>
  <c r="I11" i="4"/>
  <c r="L188" i="5"/>
  <c r="J11" i="4"/>
  <c r="N188" i="5"/>
  <c r="L11" i="4"/>
  <c r="Q188" i="5"/>
  <c r="M11" i="4"/>
  <c r="R188" i="5"/>
  <c r="T188" i="5"/>
  <c r="U188" i="5"/>
  <c r="Q11" i="4"/>
  <c r="X188" i="5"/>
  <c r="R11" i="4"/>
  <c r="Z188" i="5"/>
  <c r="AI11" i="4"/>
  <c r="T11" i="4" a="1"/>
  <c r="T11" i="4"/>
  <c r="AC188" i="5"/>
  <c r="U11" i="4" a="1"/>
  <c r="U11" i="4"/>
  <c r="AD188" i="5"/>
  <c r="AI188" i="5"/>
  <c r="Y11" i="4"/>
  <c r="AJ188" i="5"/>
  <c r="Z11" i="4"/>
  <c r="AL188" i="5"/>
  <c r="AN188" i="5"/>
  <c r="F189" i="5"/>
  <c r="H189" i="5"/>
  <c r="I189" i="5"/>
  <c r="AG190" i="5"/>
  <c r="AF190" i="5"/>
  <c r="C184" i="4"/>
  <c r="C190" i="5"/>
  <c r="D184" i="4"/>
  <c r="E190" i="5"/>
  <c r="K190" i="5"/>
  <c r="L184" i="4"/>
  <c r="Q190" i="5"/>
  <c r="M184" i="4"/>
  <c r="R190" i="5"/>
  <c r="T190" i="5"/>
  <c r="O184" i="4"/>
  <c r="U190" i="5"/>
  <c r="P184" i="4"/>
  <c r="W190" i="5"/>
  <c r="Q184" i="4"/>
  <c r="X190" i="5"/>
  <c r="S184" i="4"/>
  <c r="AA190" i="5"/>
  <c r="AI184" i="4"/>
  <c r="T184" i="4" a="1"/>
  <c r="T184" i="4"/>
  <c r="AC190" i="5"/>
  <c r="U184" i="4" a="1"/>
  <c r="U184" i="4"/>
  <c r="AD190" i="5"/>
  <c r="X184" i="4"/>
  <c r="AI190" i="5"/>
  <c r="Y184" i="4"/>
  <c r="AJ190" i="5"/>
  <c r="Z184" i="4"/>
  <c r="AL190" i="5"/>
  <c r="F190" i="5"/>
  <c r="H190" i="5"/>
  <c r="I190" i="5"/>
  <c r="L190" i="5"/>
  <c r="N190" i="5"/>
  <c r="O190" i="5"/>
  <c r="Z190" i="5"/>
  <c r="AN190" i="5"/>
  <c r="AG191" i="5"/>
  <c r="AF191" i="5"/>
  <c r="C185" i="4"/>
  <c r="C191" i="5"/>
  <c r="T191" i="5"/>
  <c r="O185" i="4"/>
  <c r="U191" i="5"/>
  <c r="P185" i="4"/>
  <c r="W191" i="5"/>
  <c r="Q185" i="4"/>
  <c r="X191" i="5"/>
  <c r="AA191" i="5"/>
  <c r="AI185" i="4"/>
  <c r="T185" i="4" a="1"/>
  <c r="T185" i="4"/>
  <c r="AC191" i="5"/>
  <c r="U185" i="4" a="1"/>
  <c r="U185" i="4"/>
  <c r="AD191" i="5"/>
  <c r="X185" i="4"/>
  <c r="AI191" i="5"/>
  <c r="Y185" i="4"/>
  <c r="AJ191" i="5"/>
  <c r="Z185" i="4"/>
  <c r="AL191" i="5"/>
  <c r="F191" i="5"/>
  <c r="H191" i="5"/>
  <c r="I191" i="5"/>
  <c r="L191" i="5"/>
  <c r="N191" i="5"/>
  <c r="O191" i="5"/>
  <c r="Z191" i="5"/>
  <c r="AN191" i="5"/>
  <c r="AG192" i="5"/>
  <c r="AF192" i="5"/>
  <c r="C186" i="4"/>
  <c r="C192" i="5"/>
  <c r="T192" i="5"/>
  <c r="O186" i="4"/>
  <c r="U192" i="5"/>
  <c r="P186" i="4"/>
  <c r="W192" i="5"/>
  <c r="Q186" i="4"/>
  <c r="X192" i="5"/>
  <c r="AA192" i="5"/>
  <c r="AI186" i="4"/>
  <c r="T186" i="4" a="1"/>
  <c r="T186" i="4"/>
  <c r="AC192" i="5"/>
  <c r="U186" i="4" a="1"/>
  <c r="U186" i="4"/>
  <c r="AD192" i="5"/>
  <c r="X186" i="4"/>
  <c r="AI192" i="5"/>
  <c r="Y186" i="4"/>
  <c r="AJ192" i="5"/>
  <c r="Z186" i="4"/>
  <c r="AL192" i="5"/>
  <c r="F192" i="5"/>
  <c r="H192" i="5"/>
  <c r="I192" i="5"/>
  <c r="L192" i="5"/>
  <c r="N192" i="5"/>
  <c r="O192" i="5"/>
  <c r="Z192" i="5"/>
  <c r="AN192" i="5"/>
  <c r="AG193" i="5"/>
  <c r="AF193" i="5"/>
  <c r="C187" i="4"/>
  <c r="C193" i="5"/>
  <c r="D187" i="4"/>
  <c r="E193" i="5"/>
  <c r="H187" i="4"/>
  <c r="K193" i="5"/>
  <c r="L187" i="4"/>
  <c r="Q193" i="5"/>
  <c r="M187" i="4"/>
  <c r="R193" i="5"/>
  <c r="T193" i="5"/>
  <c r="O187" i="4"/>
  <c r="U193" i="5"/>
  <c r="P187" i="4"/>
  <c r="W193" i="5"/>
  <c r="Q187" i="4"/>
  <c r="X193" i="5"/>
  <c r="AA193" i="5"/>
  <c r="AI187" i="4"/>
  <c r="T187" i="4" a="1"/>
  <c r="T187" i="4"/>
  <c r="AC193" i="5"/>
  <c r="U187" i="4" a="1"/>
  <c r="U187" i="4"/>
  <c r="AD193" i="5"/>
  <c r="X187" i="4"/>
  <c r="AI193" i="5"/>
  <c r="Y187" i="4"/>
  <c r="AJ193" i="5"/>
  <c r="Z187" i="4"/>
  <c r="AL193" i="5"/>
  <c r="F193" i="5"/>
  <c r="H193" i="5"/>
  <c r="I193" i="5"/>
  <c r="L193" i="5"/>
  <c r="N193" i="5"/>
  <c r="O193" i="5"/>
  <c r="Z193" i="5"/>
  <c r="AN193" i="5"/>
  <c r="AG194" i="5"/>
  <c r="AF194" i="5"/>
  <c r="B191" i="4"/>
  <c r="C191" i="4"/>
  <c r="C194" i="5"/>
  <c r="D191" i="4"/>
  <c r="E194" i="5"/>
  <c r="H191" i="4"/>
  <c r="K194" i="5"/>
  <c r="L191" i="4"/>
  <c r="Q194" i="5"/>
  <c r="M191" i="4"/>
  <c r="R194" i="5"/>
  <c r="T194" i="5"/>
  <c r="U194" i="5"/>
  <c r="P191" i="4"/>
  <c r="W194" i="5"/>
  <c r="Q191" i="4"/>
  <c r="X194" i="5"/>
  <c r="S191" i="4"/>
  <c r="AA194" i="5"/>
  <c r="AI191" i="4"/>
  <c r="T191" i="4" a="1"/>
  <c r="T191" i="4"/>
  <c r="AC194" i="5"/>
  <c r="U191" i="4" a="1"/>
  <c r="U191" i="4"/>
  <c r="AD194" i="5"/>
  <c r="X191" i="4"/>
  <c r="AI194" i="5"/>
  <c r="Y191" i="4"/>
  <c r="AJ194" i="5"/>
  <c r="Z191" i="4"/>
  <c r="AL194" i="5"/>
  <c r="F194" i="5"/>
  <c r="H194" i="5"/>
  <c r="I194" i="5"/>
  <c r="L194" i="5"/>
  <c r="N194" i="5"/>
  <c r="O194" i="5"/>
  <c r="Z194" i="5"/>
  <c r="AN194" i="5"/>
  <c r="AG195" i="5"/>
  <c r="AF195" i="5"/>
  <c r="B262" i="4"/>
  <c r="C262" i="4"/>
  <c r="C195" i="5"/>
  <c r="D262" i="4"/>
  <c r="E195" i="5"/>
  <c r="K195" i="5"/>
  <c r="L262" i="4"/>
  <c r="Q195" i="5"/>
  <c r="M262" i="4"/>
  <c r="R195" i="5"/>
  <c r="T195" i="5"/>
  <c r="O262" i="4"/>
  <c r="U195" i="5"/>
  <c r="P262" i="4"/>
  <c r="W195" i="5"/>
  <c r="Q262" i="4"/>
  <c r="X195" i="5"/>
  <c r="S262" i="4"/>
  <c r="AA195" i="5"/>
  <c r="AI262" i="4"/>
  <c r="T262" i="4" a="1"/>
  <c r="T262" i="4"/>
  <c r="AC195" i="5"/>
  <c r="U262" i="4" a="1"/>
  <c r="U262" i="4"/>
  <c r="AD195" i="5"/>
  <c r="X262" i="4"/>
  <c r="AI195" i="5"/>
  <c r="Y262" i="4"/>
  <c r="AJ195" i="5"/>
  <c r="Z262" i="4"/>
  <c r="AL195" i="5"/>
  <c r="F195" i="5"/>
  <c r="H195" i="5"/>
  <c r="I195" i="5"/>
  <c r="L195" i="5"/>
  <c r="N195" i="5"/>
  <c r="O195" i="5"/>
  <c r="Z195" i="5"/>
  <c r="AN195" i="5"/>
  <c r="AG196" i="5"/>
  <c r="AF196" i="5"/>
  <c r="B263" i="4"/>
  <c r="C263" i="4"/>
  <c r="C196" i="5"/>
  <c r="D263" i="4"/>
  <c r="E196" i="5"/>
  <c r="K196" i="5"/>
  <c r="L263" i="4"/>
  <c r="Q196" i="5"/>
  <c r="M263" i="4"/>
  <c r="R196" i="5"/>
  <c r="T196" i="5"/>
  <c r="O263" i="4"/>
  <c r="U196" i="5"/>
  <c r="P263" i="4"/>
  <c r="W196" i="5"/>
  <c r="Q263" i="4"/>
  <c r="X196" i="5"/>
  <c r="S263" i="4"/>
  <c r="AA196" i="5"/>
  <c r="AI263" i="4"/>
  <c r="T263" i="4" a="1"/>
  <c r="T263" i="4"/>
  <c r="AC196" i="5"/>
  <c r="U263" i="4" a="1"/>
  <c r="U263" i="4"/>
  <c r="AD196" i="5"/>
  <c r="X263" i="4"/>
  <c r="AI196" i="5"/>
  <c r="Y263" i="4"/>
  <c r="AJ196" i="5"/>
  <c r="Z263" i="4"/>
  <c r="AL196" i="5"/>
  <c r="F196" i="5"/>
  <c r="H196" i="5"/>
  <c r="I196" i="5"/>
  <c r="L196" i="5"/>
  <c r="N196" i="5"/>
  <c r="O196" i="5"/>
  <c r="Z196" i="5"/>
  <c r="AN196" i="5"/>
  <c r="AG197" i="5"/>
  <c r="AF197" i="5"/>
  <c r="C270" i="4"/>
  <c r="C197" i="5"/>
  <c r="T197" i="5"/>
  <c r="O270" i="4"/>
  <c r="U197" i="5"/>
  <c r="P270" i="4"/>
  <c r="W197" i="5"/>
  <c r="Q270" i="4"/>
  <c r="X197" i="5"/>
  <c r="S270" i="4"/>
  <c r="AA197" i="5"/>
  <c r="AI270" i="4"/>
  <c r="T270" i="4" a="1"/>
  <c r="T270" i="4"/>
  <c r="AC197" i="5"/>
  <c r="U270" i="4" a="1"/>
  <c r="U270" i="4"/>
  <c r="AD197" i="5"/>
  <c r="X270" i="4"/>
  <c r="AI197" i="5"/>
  <c r="Y270" i="4"/>
  <c r="AJ197" i="5"/>
  <c r="Z270" i="4"/>
  <c r="AL197" i="5"/>
  <c r="L197" i="5"/>
  <c r="N197" i="5"/>
  <c r="O197" i="5"/>
  <c r="Z197" i="5"/>
  <c r="AN197" i="5"/>
  <c r="AG198" i="5"/>
  <c r="AF198" i="5"/>
  <c r="C271" i="4"/>
  <c r="C198" i="5"/>
  <c r="D271" i="4"/>
  <c r="E198" i="5"/>
  <c r="H271" i="4"/>
  <c r="K198" i="5"/>
  <c r="I271" i="4"/>
  <c r="L198" i="5"/>
  <c r="J271" i="4"/>
  <c r="N198" i="5"/>
  <c r="O198" i="5"/>
  <c r="L271" i="4"/>
  <c r="Q198" i="5"/>
  <c r="M271" i="4"/>
  <c r="R198" i="5"/>
  <c r="T198" i="5"/>
  <c r="O271" i="4"/>
  <c r="U198" i="5"/>
  <c r="P271" i="4"/>
  <c r="W198" i="5"/>
  <c r="Q271" i="4"/>
  <c r="X198" i="5"/>
  <c r="S271" i="4"/>
  <c r="AA198" i="5"/>
  <c r="AI271" i="4"/>
  <c r="T271" i="4" a="1"/>
  <c r="T271" i="4"/>
  <c r="AC198" i="5"/>
  <c r="U271" i="4" a="1"/>
  <c r="U271" i="4"/>
  <c r="AD198" i="5"/>
  <c r="X271" i="4"/>
  <c r="AI198" i="5"/>
  <c r="Y271" i="4"/>
  <c r="AJ198" i="5"/>
  <c r="Z271" i="4"/>
  <c r="AL198" i="5"/>
  <c r="Z198" i="5"/>
  <c r="AN198" i="5"/>
  <c r="AG199" i="5"/>
  <c r="AF199" i="5"/>
  <c r="C272" i="4"/>
  <c r="C199" i="5"/>
  <c r="D272" i="4"/>
  <c r="E199" i="5"/>
  <c r="E272" i="4"/>
  <c r="F199" i="5"/>
  <c r="F272" i="4"/>
  <c r="H199" i="5"/>
  <c r="H272" i="4"/>
  <c r="K199" i="5"/>
  <c r="L272" i="4"/>
  <c r="Q199" i="5"/>
  <c r="M272" i="4"/>
  <c r="R199" i="5"/>
  <c r="T199" i="5"/>
  <c r="O272" i="4"/>
  <c r="U199" i="5"/>
  <c r="P272" i="4"/>
  <c r="W199" i="5"/>
  <c r="Q272" i="4"/>
  <c r="X199" i="5"/>
  <c r="S272" i="4"/>
  <c r="AA199" i="5"/>
  <c r="AI272" i="4"/>
  <c r="T272" i="4" a="1"/>
  <c r="T272" i="4"/>
  <c r="AC199" i="5"/>
  <c r="U272" i="4" a="1"/>
  <c r="U272" i="4"/>
  <c r="AD199" i="5"/>
  <c r="X272" i="4"/>
  <c r="AI199" i="5"/>
  <c r="Y272" i="4"/>
  <c r="AJ199" i="5"/>
  <c r="Z272" i="4"/>
  <c r="AL199" i="5"/>
  <c r="L199" i="5"/>
  <c r="N199" i="5"/>
  <c r="O199" i="5"/>
  <c r="Z199" i="5"/>
  <c r="AN199" i="5"/>
  <c r="AG200" i="5"/>
  <c r="AF200" i="5"/>
  <c r="B201" i="4"/>
  <c r="C201" i="4"/>
  <c r="C200" i="5"/>
  <c r="E200" i="5"/>
  <c r="F200" i="5"/>
  <c r="H200" i="5"/>
  <c r="I200" i="5"/>
  <c r="H201" i="4"/>
  <c r="K200" i="5"/>
  <c r="L201" i="4"/>
  <c r="Q200" i="5"/>
  <c r="M201" i="4"/>
  <c r="R200" i="5"/>
  <c r="T200" i="5"/>
  <c r="O201" i="4"/>
  <c r="U200" i="5"/>
  <c r="P201" i="4"/>
  <c r="W200" i="5"/>
  <c r="Q201" i="4"/>
  <c r="X200" i="5"/>
  <c r="S201" i="4"/>
  <c r="AA200" i="5"/>
  <c r="AI201" i="4"/>
  <c r="T201" i="4" a="1"/>
  <c r="T201" i="4"/>
  <c r="AC200" i="5"/>
  <c r="U201" i="4" a="1"/>
  <c r="U201" i="4"/>
  <c r="AD200" i="5"/>
  <c r="X201" i="4"/>
  <c r="AI200" i="5"/>
  <c r="Y201" i="4"/>
  <c r="AJ200" i="5"/>
  <c r="Z201" i="4"/>
  <c r="AL200" i="5"/>
  <c r="L200" i="5"/>
  <c r="N200" i="5"/>
  <c r="O200" i="5"/>
  <c r="Z200" i="5"/>
  <c r="AN200" i="5"/>
  <c r="AG201" i="5"/>
  <c r="AF201" i="5"/>
  <c r="B203" i="4"/>
  <c r="C203" i="4"/>
  <c r="C201" i="5"/>
  <c r="D203" i="4"/>
  <c r="E201" i="5"/>
  <c r="L203" i="4"/>
  <c r="Q201" i="5"/>
  <c r="M203" i="4"/>
  <c r="R201" i="5"/>
  <c r="T201" i="5"/>
  <c r="O203" i="4"/>
  <c r="U201" i="5"/>
  <c r="P203" i="4"/>
  <c r="W201" i="5"/>
  <c r="Q203" i="4"/>
  <c r="X201" i="5"/>
  <c r="S203" i="4"/>
  <c r="AA201" i="5"/>
  <c r="AI203" i="4"/>
  <c r="T203" i="4" a="1"/>
  <c r="T203" i="4"/>
  <c r="AC201" i="5"/>
  <c r="U203" i="4" a="1"/>
  <c r="U203" i="4"/>
  <c r="AD201" i="5"/>
  <c r="X203" i="4"/>
  <c r="AI201" i="5"/>
  <c r="Y203" i="4"/>
  <c r="AJ201" i="5"/>
  <c r="Z203" i="4"/>
  <c r="AL201" i="5"/>
  <c r="L201" i="5"/>
  <c r="N201" i="5"/>
  <c r="O201" i="5"/>
  <c r="F201" i="5"/>
  <c r="H201" i="5"/>
  <c r="I201" i="5"/>
  <c r="Z201" i="5"/>
  <c r="AN201" i="5"/>
  <c r="AG202" i="5"/>
  <c r="AF202" i="5"/>
  <c r="C65" i="4"/>
  <c r="C202" i="5"/>
  <c r="D65" i="4"/>
  <c r="E202" i="5"/>
  <c r="K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I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L202" i="5"/>
  <c r="N202" i="5"/>
  <c r="O202" i="5"/>
  <c r="F202" i="5"/>
  <c r="H202" i="5"/>
  <c r="I202" i="5"/>
  <c r="Z202" i="5"/>
  <c r="AN202" i="5"/>
  <c r="AG203" i="5"/>
  <c r="AF203" i="5"/>
  <c r="C66" i="4"/>
  <c r="C203" i="5"/>
  <c r="D66" i="4"/>
  <c r="E203" i="5"/>
  <c r="K203" i="5"/>
  <c r="I66" i="4"/>
  <c r="L203" i="5"/>
  <c r="J66" i="4"/>
  <c r="N203" i="5"/>
  <c r="O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I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F203" i="5"/>
  <c r="H203" i="5"/>
  <c r="I203" i="5"/>
  <c r="Z203" i="5"/>
  <c r="AN203" i="5"/>
  <c r="AG204" i="5"/>
  <c r="AF204" i="5"/>
  <c r="C67" i="4"/>
  <c r="C204" i="5"/>
  <c r="D67" i="4"/>
  <c r="E204" i="5"/>
  <c r="K204" i="5"/>
  <c r="L67" i="4"/>
  <c r="Q204" i="5"/>
  <c r="M67" i="4"/>
  <c r="R204" i="5"/>
  <c r="N67" i="4"/>
  <c r="T204" i="5"/>
  <c r="O67" i="4"/>
  <c r="U204" i="5"/>
  <c r="P67" i="4"/>
  <c r="W204" i="5"/>
  <c r="Q67" i="4"/>
  <c r="X204" i="5"/>
  <c r="S67" i="4"/>
  <c r="AA204" i="5"/>
  <c r="AI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F204" i="5"/>
  <c r="H204" i="5"/>
  <c r="I204" i="5"/>
  <c r="Z204" i="5"/>
  <c r="AN204" i="5"/>
  <c r="AG205" i="5"/>
  <c r="AF205" i="5"/>
  <c r="C68" i="4"/>
  <c r="C205" i="5"/>
  <c r="D68" i="4"/>
  <c r="E205" i="5"/>
  <c r="K205" i="5"/>
  <c r="L68" i="4"/>
  <c r="Q205" i="5"/>
  <c r="M68" i="4"/>
  <c r="R205" i="5"/>
  <c r="T205" i="5"/>
  <c r="U205" i="5"/>
  <c r="P68" i="4"/>
  <c r="W205" i="5"/>
  <c r="Q68" i="4"/>
  <c r="X205" i="5"/>
  <c r="S68" i="4"/>
  <c r="AA205" i="5"/>
  <c r="AI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L205" i="5"/>
  <c r="N205" i="5"/>
  <c r="O205" i="5"/>
  <c r="F205" i="5"/>
  <c r="H205" i="5"/>
  <c r="I205" i="5"/>
  <c r="Z205" i="5"/>
  <c r="AN205" i="5"/>
  <c r="AG206" i="5"/>
  <c r="AF206" i="5"/>
  <c r="C69" i="4"/>
  <c r="C206" i="5"/>
  <c r="D69" i="4"/>
  <c r="E206" i="5"/>
  <c r="K206" i="5"/>
  <c r="I69" i="4"/>
  <c r="L206" i="5"/>
  <c r="J69" i="4"/>
  <c r="N206" i="5"/>
  <c r="O206" i="5"/>
  <c r="L69" i="4"/>
  <c r="Q206" i="5"/>
  <c r="M69" i="4"/>
  <c r="R206" i="5"/>
  <c r="N69" i="4"/>
  <c r="T206" i="5"/>
  <c r="O69" i="4"/>
  <c r="U206" i="5"/>
  <c r="P69" i="4"/>
  <c r="W206" i="5"/>
  <c r="Q69" i="4"/>
  <c r="X206" i="5"/>
  <c r="S69" i="4"/>
  <c r="AA206" i="5"/>
  <c r="AI69" i="4"/>
  <c r="T69" i="4" a="1"/>
  <c r="T69" i="4"/>
  <c r="AC206" i="5"/>
  <c r="U69" i="4" a="1"/>
  <c r="U69" i="4"/>
  <c r="AD206" i="5"/>
  <c r="X69" i="4"/>
  <c r="AI206" i="5"/>
  <c r="Y69" i="4"/>
  <c r="AJ206" i="5"/>
  <c r="Z69" i="4"/>
  <c r="AL206" i="5"/>
  <c r="F206" i="5"/>
  <c r="H206" i="5"/>
  <c r="I206" i="5"/>
  <c r="Z206" i="5"/>
  <c r="AN206" i="5"/>
  <c r="AG207" i="5"/>
  <c r="AF207" i="5"/>
  <c r="C70" i="4"/>
  <c r="C207" i="5"/>
  <c r="D70" i="4"/>
  <c r="E207" i="5"/>
  <c r="K207" i="5"/>
  <c r="L70" i="4"/>
  <c r="Q207" i="5"/>
  <c r="M70" i="4"/>
  <c r="R207" i="5"/>
  <c r="N70" i="4"/>
  <c r="T207" i="5"/>
  <c r="O70" i="4"/>
  <c r="U207" i="5"/>
  <c r="P70" i="4"/>
  <c r="W207" i="5"/>
  <c r="Q70" i="4"/>
  <c r="X207" i="5"/>
  <c r="S70" i="4"/>
  <c r="AA207" i="5"/>
  <c r="AI70" i="4"/>
  <c r="T70" i="4" a="1"/>
  <c r="T70" i="4"/>
  <c r="AC207" i="5"/>
  <c r="U70" i="4" a="1"/>
  <c r="U70" i="4"/>
  <c r="AD207" i="5"/>
  <c r="X70" i="4"/>
  <c r="AI207" i="5"/>
  <c r="Y70" i="4"/>
  <c r="AJ207" i="5"/>
  <c r="Z70" i="4"/>
  <c r="AL207" i="5"/>
  <c r="L207" i="5"/>
  <c r="N207" i="5"/>
  <c r="O207" i="5"/>
  <c r="F207" i="5"/>
  <c r="H207" i="5"/>
  <c r="I207" i="5"/>
  <c r="Z207" i="5"/>
  <c r="AN207" i="5"/>
  <c r="AG208" i="5"/>
  <c r="AF208" i="5"/>
  <c r="B264" i="4"/>
  <c r="C264" i="4"/>
  <c r="C208" i="5"/>
  <c r="D264" i="4"/>
  <c r="E208" i="5"/>
  <c r="H264" i="4"/>
  <c r="K208" i="5"/>
  <c r="I264" i="4"/>
  <c r="L208" i="5"/>
  <c r="J264" i="4"/>
  <c r="N208" i="5"/>
  <c r="O208" i="5"/>
  <c r="L264" i="4"/>
  <c r="Q208" i="5"/>
  <c r="M264" i="4"/>
  <c r="R208" i="5"/>
  <c r="N264" i="4"/>
  <c r="T208" i="5"/>
  <c r="O264" i="4"/>
  <c r="U208" i="5"/>
  <c r="P264" i="4"/>
  <c r="W208" i="5"/>
  <c r="Q264" i="4"/>
  <c r="X208" i="5"/>
  <c r="S264" i="4"/>
  <c r="AA208" i="5"/>
  <c r="X264" i="4"/>
  <c r="AI208" i="5"/>
  <c r="Y264" i="4"/>
  <c r="AJ208" i="5"/>
  <c r="Z264" i="4"/>
  <c r="AL208" i="5"/>
  <c r="F208" i="5"/>
  <c r="H208" i="5"/>
  <c r="I208" i="5"/>
  <c r="Z208" i="5"/>
  <c r="AN208" i="5"/>
  <c r="AG209" i="5"/>
  <c r="AF209" i="5"/>
  <c r="C214" i="4"/>
  <c r="C209" i="5"/>
  <c r="D214" i="4"/>
  <c r="E209" i="5"/>
  <c r="H214" i="4"/>
  <c r="K209" i="5"/>
  <c r="L214" i="4"/>
  <c r="Q209" i="5"/>
  <c r="M214" i="4"/>
  <c r="R209" i="5"/>
  <c r="T209" i="5"/>
  <c r="O214" i="4"/>
  <c r="U209" i="5"/>
  <c r="P214" i="4"/>
  <c r="W209" i="5"/>
  <c r="Q214" i="4"/>
  <c r="X209" i="5"/>
  <c r="S214" i="4"/>
  <c r="AA209" i="5"/>
  <c r="AI214" i="4"/>
  <c r="T214" i="4" a="1"/>
  <c r="T214" i="4"/>
  <c r="AC209" i="5"/>
  <c r="U214" i="4" a="1"/>
  <c r="U214" i="4"/>
  <c r="AD209" i="5"/>
  <c r="X214" i="4"/>
  <c r="AI209" i="5"/>
  <c r="Y214" i="4"/>
  <c r="AJ209" i="5"/>
  <c r="Z214" i="4"/>
  <c r="AL209" i="5"/>
  <c r="F209" i="5"/>
  <c r="H209" i="5"/>
  <c r="I209" i="5"/>
  <c r="L209" i="5"/>
  <c r="N209" i="5"/>
  <c r="O209" i="5"/>
  <c r="Z209" i="5"/>
  <c r="AN209" i="5"/>
  <c r="AG210" i="5"/>
  <c r="AF210" i="5"/>
  <c r="C215" i="4"/>
  <c r="C210" i="5"/>
  <c r="D215" i="4"/>
  <c r="E210" i="5"/>
  <c r="E215" i="4"/>
  <c r="F210" i="5"/>
  <c r="F215" i="4"/>
  <c r="H210" i="5"/>
  <c r="I210" i="5"/>
  <c r="H215" i="4"/>
  <c r="K210" i="5"/>
  <c r="L215" i="4"/>
  <c r="Q210" i="5"/>
  <c r="M215" i="4"/>
  <c r="R210" i="5"/>
  <c r="T210" i="5"/>
  <c r="O215" i="4"/>
  <c r="U210" i="5"/>
  <c r="P215" i="4"/>
  <c r="W210" i="5"/>
  <c r="Q215" i="4"/>
  <c r="X210" i="5"/>
  <c r="S215" i="4"/>
  <c r="AA210" i="5"/>
  <c r="AI215" i="4"/>
  <c r="T215" i="4" a="1"/>
  <c r="T215" i="4"/>
  <c r="AC210" i="5"/>
  <c r="U215" i="4" a="1"/>
  <c r="U215" i="4"/>
  <c r="AD210" i="5"/>
  <c r="X215" i="4"/>
  <c r="AI210" i="5"/>
  <c r="Y215" i="4"/>
  <c r="AJ210" i="5"/>
  <c r="Z215" i="4"/>
  <c r="AL210" i="5"/>
  <c r="L210" i="5"/>
  <c r="N210" i="5"/>
  <c r="O210" i="5"/>
  <c r="Z210" i="5"/>
  <c r="AN210" i="5"/>
  <c r="AG211" i="5"/>
  <c r="AF211" i="5"/>
  <c r="B217" i="4"/>
  <c r="C217" i="4"/>
  <c r="C211" i="5"/>
  <c r="D217" i="4"/>
  <c r="E211" i="5"/>
  <c r="E217" i="4"/>
  <c r="F211" i="5"/>
  <c r="F217" i="4"/>
  <c r="H211" i="5"/>
  <c r="I211" i="5"/>
  <c r="H217" i="4"/>
  <c r="K211" i="5"/>
  <c r="L217" i="4"/>
  <c r="Q211" i="5"/>
  <c r="M217" i="4"/>
  <c r="R211" i="5"/>
  <c r="N217" i="4"/>
  <c r="T211" i="5"/>
  <c r="O217" i="4"/>
  <c r="U211" i="5"/>
  <c r="P217" i="4"/>
  <c r="W211" i="5"/>
  <c r="Q217" i="4"/>
  <c r="X211" i="5"/>
  <c r="S217" i="4"/>
  <c r="AA211" i="5"/>
  <c r="AC211" i="5"/>
  <c r="AD211" i="5"/>
  <c r="X217" i="4"/>
  <c r="AI211" i="5"/>
  <c r="Y217" i="4"/>
  <c r="AJ211" i="5"/>
  <c r="Z217" i="4"/>
  <c r="AL211" i="5"/>
  <c r="L211" i="5"/>
  <c r="N211" i="5"/>
  <c r="O211" i="5"/>
  <c r="Z211" i="5"/>
  <c r="AN211" i="5"/>
  <c r="AG212" i="5"/>
  <c r="AF212" i="5"/>
  <c r="C218" i="4"/>
  <c r="C212" i="5"/>
  <c r="D218" i="4"/>
  <c r="E212" i="5"/>
  <c r="E218" i="4"/>
  <c r="F212" i="5"/>
  <c r="F218" i="4"/>
  <c r="H212" i="5"/>
  <c r="I212" i="5"/>
  <c r="H218" i="4"/>
  <c r="K212" i="5"/>
  <c r="L218" i="4"/>
  <c r="Q212" i="5"/>
  <c r="M218" i="4"/>
  <c r="R212" i="5"/>
  <c r="T212" i="5"/>
  <c r="O218" i="4"/>
  <c r="U212" i="5"/>
  <c r="P218" i="4"/>
  <c r="W212" i="5"/>
  <c r="Q218" i="4"/>
  <c r="X212" i="5"/>
  <c r="S218" i="4"/>
  <c r="AA212" i="5"/>
  <c r="AI218" i="4"/>
  <c r="T218" i="4" a="1"/>
  <c r="T218" i="4"/>
  <c r="AC212" i="5"/>
  <c r="U218" i="4" a="1"/>
  <c r="U218" i="4"/>
  <c r="AD212" i="5"/>
  <c r="X218" i="4"/>
  <c r="AI212" i="5"/>
  <c r="Y218" i="4"/>
  <c r="AJ212" i="5"/>
  <c r="Z218" i="4"/>
  <c r="AL212" i="5"/>
  <c r="L212" i="5"/>
  <c r="N212" i="5"/>
  <c r="O212" i="5"/>
  <c r="Z212" i="5"/>
  <c r="AN212" i="5"/>
  <c r="AG213" i="5"/>
  <c r="AF213" i="5"/>
  <c r="C219" i="4"/>
  <c r="C213" i="5"/>
  <c r="D219" i="4"/>
  <c r="E213" i="5"/>
  <c r="E219" i="4"/>
  <c r="F213" i="5"/>
  <c r="F219" i="4"/>
  <c r="H213" i="5"/>
  <c r="I213" i="5"/>
  <c r="H219" i="4"/>
  <c r="K213" i="5"/>
  <c r="L219" i="4"/>
  <c r="Q213" i="5"/>
  <c r="M219" i="4"/>
  <c r="R213" i="5"/>
  <c r="T213" i="5"/>
  <c r="U213" i="5"/>
  <c r="P219" i="4"/>
  <c r="W213" i="5"/>
  <c r="Q219" i="4"/>
  <c r="X213" i="5"/>
  <c r="S219" i="4"/>
  <c r="AA213" i="5"/>
  <c r="AI219" i="4"/>
  <c r="T219" i="4" a="1"/>
  <c r="T219" i="4"/>
  <c r="AC213" i="5"/>
  <c r="U219" i="4" a="1"/>
  <c r="U219" i="4"/>
  <c r="AD213" i="5"/>
  <c r="X219" i="4"/>
  <c r="AI213" i="5"/>
  <c r="Y219" i="4"/>
  <c r="AJ213" i="5"/>
  <c r="Z219" i="4"/>
  <c r="AL213" i="5"/>
  <c r="L213" i="5"/>
  <c r="N213" i="5"/>
  <c r="O213" i="5"/>
  <c r="Z213" i="5"/>
  <c r="AN213" i="5"/>
  <c r="AG214" i="5"/>
  <c r="AF214" i="5"/>
  <c r="C221" i="4"/>
  <c r="C214" i="5"/>
  <c r="D221" i="4"/>
  <c r="E214" i="5"/>
  <c r="E221" i="4"/>
  <c r="F214" i="5"/>
  <c r="F221" i="4"/>
  <c r="H214" i="5"/>
  <c r="I214" i="5"/>
  <c r="H221" i="4"/>
  <c r="K214" i="5"/>
  <c r="L221" i="4"/>
  <c r="Q214" i="5"/>
  <c r="M221" i="4"/>
  <c r="R214" i="5"/>
  <c r="T214" i="5"/>
  <c r="O221" i="4"/>
  <c r="U214" i="5"/>
  <c r="P221" i="4"/>
  <c r="W214" i="5"/>
  <c r="Q221" i="4"/>
  <c r="X214" i="5"/>
  <c r="S221" i="4"/>
  <c r="AA214" i="5"/>
  <c r="AI221" i="4"/>
  <c r="T221" i="4" a="1"/>
  <c r="T221" i="4"/>
  <c r="AC214" i="5"/>
  <c r="U221" i="4" a="1"/>
  <c r="U221" i="4"/>
  <c r="AD214" i="5"/>
  <c r="X221" i="4"/>
  <c r="AI214" i="5"/>
  <c r="Y221" i="4"/>
  <c r="AJ214" i="5"/>
  <c r="Z221" i="4"/>
  <c r="AL214" i="5"/>
  <c r="L214" i="5"/>
  <c r="N214" i="5"/>
  <c r="O214" i="5"/>
  <c r="Z214" i="5"/>
  <c r="AN214" i="5"/>
  <c r="AG215" i="5"/>
  <c r="AF215" i="5"/>
  <c r="B222" i="4"/>
  <c r="C222" i="4"/>
  <c r="C215" i="5"/>
  <c r="D222" i="4"/>
  <c r="E215" i="5"/>
  <c r="E222" i="4"/>
  <c r="F215" i="5"/>
  <c r="F222" i="4"/>
  <c r="H215" i="5"/>
  <c r="I215" i="5"/>
  <c r="H222" i="4"/>
  <c r="K215" i="5"/>
  <c r="L222" i="4"/>
  <c r="Q215" i="5"/>
  <c r="M222" i="4"/>
  <c r="R215" i="5"/>
  <c r="T215" i="5"/>
  <c r="O222" i="4"/>
  <c r="U215" i="5"/>
  <c r="P222" i="4"/>
  <c r="W215" i="5"/>
  <c r="Q222" i="4"/>
  <c r="X215" i="5"/>
  <c r="S222" i="4"/>
  <c r="AA215" i="5"/>
  <c r="AI222" i="4"/>
  <c r="T222" i="4" a="1"/>
  <c r="T222" i="4"/>
  <c r="AC215" i="5"/>
  <c r="U222" i="4" a="1"/>
  <c r="U222" i="4"/>
  <c r="AD215" i="5"/>
  <c r="X222" i="4"/>
  <c r="AI215" i="5"/>
  <c r="Y222" i="4"/>
  <c r="AJ215" i="5"/>
  <c r="Z222" i="4"/>
  <c r="AL215" i="5"/>
  <c r="L215" i="5"/>
  <c r="N215" i="5"/>
  <c r="O215" i="5"/>
  <c r="Z215" i="5"/>
  <c r="AN215" i="5"/>
  <c r="O216" i="5"/>
  <c r="B223" i="4"/>
  <c r="H223" i="4"/>
  <c r="K216" i="5"/>
  <c r="AG216" i="5"/>
  <c r="AF216" i="5"/>
  <c r="C223" i="4"/>
  <c r="C216" i="5"/>
  <c r="D223" i="4"/>
  <c r="E216" i="5"/>
  <c r="E223" i="4"/>
  <c r="F216" i="5"/>
  <c r="F223" i="4"/>
  <c r="H216" i="5"/>
  <c r="I216" i="5"/>
  <c r="I223" i="4"/>
  <c r="L216" i="5"/>
  <c r="J223" i="4"/>
  <c r="N216" i="5"/>
  <c r="L223" i="4"/>
  <c r="Q216" i="5"/>
  <c r="M223" i="4"/>
  <c r="R216" i="5"/>
  <c r="N223" i="4"/>
  <c r="T216" i="5"/>
  <c r="O223" i="4"/>
  <c r="U216" i="5"/>
  <c r="P223" i="4"/>
  <c r="W216" i="5"/>
  <c r="Q223" i="4"/>
  <c r="X216" i="5"/>
  <c r="S223" i="4"/>
  <c r="AA216" i="5"/>
  <c r="AI223" i="4"/>
  <c r="T223" i="4" a="1"/>
  <c r="T223" i="4"/>
  <c r="AC216" i="5"/>
  <c r="U223" i="4" a="1"/>
  <c r="U223" i="4"/>
  <c r="AD216" i="5"/>
  <c r="X223" i="4"/>
  <c r="AI216" i="5"/>
  <c r="Y223" i="4"/>
  <c r="AJ216" i="5"/>
  <c r="Z223" i="4"/>
  <c r="AL216" i="5"/>
  <c r="Z216" i="5"/>
  <c r="AN216" i="5"/>
  <c r="O217" i="5"/>
  <c r="B224" i="4"/>
  <c r="H224" i="4"/>
  <c r="K217" i="5"/>
  <c r="AG217" i="5"/>
  <c r="AF217" i="5"/>
  <c r="C224" i="4"/>
  <c r="C217" i="5"/>
  <c r="D224" i="4"/>
  <c r="E217" i="5"/>
  <c r="E224" i="4"/>
  <c r="F217" i="5"/>
  <c r="F224" i="4"/>
  <c r="H217" i="5"/>
  <c r="I217" i="5"/>
  <c r="L224" i="4"/>
  <c r="Q217" i="5"/>
  <c r="M224" i="4"/>
  <c r="R217" i="5"/>
  <c r="T217" i="5"/>
  <c r="O224" i="4"/>
  <c r="U217" i="5"/>
  <c r="P224" i="4"/>
  <c r="W217" i="5"/>
  <c r="Q224" i="4"/>
  <c r="X217" i="5"/>
  <c r="S224" i="4"/>
  <c r="AA217" i="5"/>
  <c r="AI224" i="4"/>
  <c r="T224" i="4" a="1"/>
  <c r="T224" i="4"/>
  <c r="AC217" i="5"/>
  <c r="U224" i="4" a="1"/>
  <c r="U224" i="4"/>
  <c r="AD217" i="5"/>
  <c r="X224" i="4"/>
  <c r="AI217" i="5"/>
  <c r="Y224" i="4"/>
  <c r="AJ217" i="5"/>
  <c r="Z224" i="4"/>
  <c r="AL217" i="5"/>
  <c r="Z217" i="5"/>
  <c r="AN217" i="5"/>
  <c r="O218" i="5"/>
  <c r="B225" i="4"/>
  <c r="H225" i="4"/>
  <c r="K218" i="5"/>
  <c r="AG218" i="5"/>
  <c r="AF218" i="5"/>
  <c r="C225" i="4"/>
  <c r="C218" i="5"/>
  <c r="D225" i="4"/>
  <c r="E218" i="5"/>
  <c r="E225" i="4"/>
  <c r="F218" i="5"/>
  <c r="F225" i="4"/>
  <c r="H218" i="5"/>
  <c r="I218" i="5"/>
  <c r="I225" i="4"/>
  <c r="L218" i="5"/>
  <c r="J225" i="4"/>
  <c r="N218" i="5"/>
  <c r="L225" i="4"/>
  <c r="Q218" i="5"/>
  <c r="M225" i="4"/>
  <c r="R218" i="5"/>
  <c r="T218" i="5"/>
  <c r="O225" i="4"/>
  <c r="U218" i="5"/>
  <c r="P225" i="4"/>
  <c r="W218" i="5"/>
  <c r="Q225" i="4"/>
  <c r="X218" i="5"/>
  <c r="S225" i="4"/>
  <c r="AA218" i="5"/>
  <c r="AI225" i="4"/>
  <c r="T225" i="4" a="1"/>
  <c r="T225" i="4"/>
  <c r="AC218" i="5"/>
  <c r="U225" i="4" a="1"/>
  <c r="U225" i="4"/>
  <c r="AD218" i="5"/>
  <c r="X225" i="4"/>
  <c r="AI218" i="5"/>
  <c r="Y225" i="4"/>
  <c r="AJ218" i="5"/>
  <c r="Z225" i="4"/>
  <c r="AL218" i="5"/>
  <c r="Z218" i="5"/>
  <c r="AN218" i="5"/>
  <c r="AG219" i="5"/>
  <c r="AF219" i="5"/>
  <c r="B226" i="4"/>
  <c r="C226" i="4"/>
  <c r="C219" i="5"/>
  <c r="D226" i="4"/>
  <c r="E219" i="5"/>
  <c r="H226" i="4"/>
  <c r="K219" i="5"/>
  <c r="L226" i="4"/>
  <c r="Q219" i="5"/>
  <c r="M226" i="4"/>
  <c r="R219" i="5"/>
  <c r="N226" i="4"/>
  <c r="T219" i="5"/>
  <c r="O226" i="4"/>
  <c r="U219" i="5"/>
  <c r="P226" i="4"/>
  <c r="W219" i="5"/>
  <c r="Q226" i="4"/>
  <c r="X219" i="5"/>
  <c r="S226" i="4"/>
  <c r="AA219" i="5"/>
  <c r="AI226" i="4"/>
  <c r="T226" i="4" a="1"/>
  <c r="T226" i="4"/>
  <c r="AC219" i="5"/>
  <c r="U226" i="4" a="1"/>
  <c r="U226" i="4"/>
  <c r="AD219" i="5"/>
  <c r="X226" i="4"/>
  <c r="AI219" i="5"/>
  <c r="Y226" i="4"/>
  <c r="AJ219" i="5"/>
  <c r="Z226" i="4"/>
  <c r="AL219" i="5"/>
  <c r="F219" i="5"/>
  <c r="H219" i="5"/>
  <c r="I219" i="5"/>
  <c r="L219" i="5"/>
  <c r="N219" i="5"/>
  <c r="O219" i="5"/>
  <c r="Z219" i="5"/>
  <c r="AN219" i="5"/>
  <c r="AG220" i="5"/>
  <c r="AF220" i="5"/>
  <c r="C228" i="4"/>
  <c r="C220" i="5"/>
  <c r="D228" i="4"/>
  <c r="E220" i="5"/>
  <c r="E228" i="4"/>
  <c r="F220" i="5"/>
  <c r="F228" i="4"/>
  <c r="H220" i="5"/>
  <c r="I220" i="5"/>
  <c r="H228" i="4"/>
  <c r="K220" i="5"/>
  <c r="L228" i="4"/>
  <c r="Q220" i="5"/>
  <c r="M228" i="4"/>
  <c r="R220" i="5"/>
  <c r="T220" i="5"/>
  <c r="O228" i="4"/>
  <c r="U220" i="5"/>
  <c r="P228" i="4"/>
  <c r="W220" i="5"/>
  <c r="Q228" i="4"/>
  <c r="X220" i="5"/>
  <c r="AA220" i="5"/>
  <c r="AI228" i="4"/>
  <c r="T228" i="4" a="1"/>
  <c r="T228" i="4"/>
  <c r="AC220" i="5"/>
  <c r="U228" i="4" a="1"/>
  <c r="U228" i="4"/>
  <c r="AD220" i="5"/>
  <c r="X228" i="4"/>
  <c r="AI220" i="5"/>
  <c r="L220" i="5"/>
  <c r="N220" i="5"/>
  <c r="O220" i="5"/>
  <c r="Z220" i="5"/>
  <c r="AN220" i="5"/>
  <c r="AG221" i="5"/>
  <c r="AF221" i="5"/>
  <c r="C229" i="4"/>
  <c r="C221" i="5"/>
  <c r="D229" i="4"/>
  <c r="E221" i="5"/>
  <c r="E229" i="4"/>
  <c r="F221" i="5"/>
  <c r="F229" i="4"/>
  <c r="H221" i="5"/>
  <c r="I221" i="5"/>
  <c r="H229" i="4"/>
  <c r="K221" i="5"/>
  <c r="L229" i="4"/>
  <c r="Q221" i="5"/>
  <c r="M229" i="4"/>
  <c r="R221" i="5"/>
  <c r="T221" i="5"/>
  <c r="O229" i="4"/>
  <c r="U221" i="5"/>
  <c r="P229" i="4"/>
  <c r="W221" i="5"/>
  <c r="Q229" i="4"/>
  <c r="X221" i="5"/>
  <c r="S229" i="4"/>
  <c r="AA221" i="5"/>
  <c r="AI229" i="4"/>
  <c r="T229" i="4" a="1"/>
  <c r="T229" i="4"/>
  <c r="AC221" i="5"/>
  <c r="U229" i="4" a="1"/>
  <c r="U229" i="4"/>
  <c r="AD221" i="5"/>
  <c r="X229" i="4"/>
  <c r="AI221" i="5"/>
  <c r="Y229" i="4"/>
  <c r="AJ221" i="5"/>
  <c r="Z229" i="4"/>
  <c r="AL221" i="5"/>
  <c r="L221" i="5"/>
  <c r="N221" i="5"/>
  <c r="O221" i="5"/>
  <c r="Z221" i="5"/>
  <c r="AN221" i="5"/>
  <c r="O222" i="5"/>
  <c r="B292" i="4"/>
  <c r="H292" i="4"/>
  <c r="K222" i="5"/>
  <c r="AG222" i="5"/>
  <c r="AF222" i="5"/>
  <c r="C292" i="4"/>
  <c r="C222" i="5"/>
  <c r="D292" i="4"/>
  <c r="E222" i="5"/>
  <c r="E292" i="4"/>
  <c r="F222" i="5"/>
  <c r="F292" i="4"/>
  <c r="H222" i="5"/>
  <c r="I222" i="5"/>
  <c r="I292" i="4"/>
  <c r="L222" i="5"/>
  <c r="J292" i="4"/>
  <c r="N222" i="5"/>
  <c r="L292" i="4"/>
  <c r="Q222" i="5"/>
  <c r="M292" i="4"/>
  <c r="R222" i="5"/>
  <c r="T222" i="5"/>
  <c r="O292" i="4"/>
  <c r="U222" i="5"/>
  <c r="P292" i="4"/>
  <c r="W222" i="5"/>
  <c r="Q292" i="4"/>
  <c r="X222" i="5"/>
  <c r="S292" i="4"/>
  <c r="AA222" i="5"/>
  <c r="AI292" i="4"/>
  <c r="T292" i="4" a="1"/>
  <c r="T292" i="4"/>
  <c r="AC222" i="5"/>
  <c r="U292" i="4" a="1"/>
  <c r="U292" i="4"/>
  <c r="AD222" i="5"/>
  <c r="X292" i="4"/>
  <c r="AI222" i="5"/>
  <c r="Y292" i="4"/>
  <c r="AJ222" i="5"/>
  <c r="Z292" i="4"/>
  <c r="AL222" i="5"/>
  <c r="Z222" i="5"/>
  <c r="AN222" i="5"/>
  <c r="AG223" i="5"/>
  <c r="AF223" i="5"/>
  <c r="C230" i="4"/>
  <c r="C223" i="5"/>
  <c r="T223" i="5"/>
  <c r="O230" i="4"/>
  <c r="U223" i="5"/>
  <c r="P230" i="4"/>
  <c r="W223" i="5"/>
  <c r="Q230" i="4"/>
  <c r="X223" i="5"/>
  <c r="S230" i="4"/>
  <c r="AA223" i="5"/>
  <c r="AI230" i="4"/>
  <c r="T230" i="4" a="1"/>
  <c r="T230" i="4"/>
  <c r="AC223" i="5"/>
  <c r="U230" i="4" a="1"/>
  <c r="U230" i="4"/>
  <c r="AD223" i="5"/>
  <c r="AI223" i="5"/>
  <c r="Y230" i="4"/>
  <c r="AJ223" i="5"/>
  <c r="Z230" i="4"/>
  <c r="AL223" i="5"/>
  <c r="Z223" i="5"/>
  <c r="AN223" i="5"/>
  <c r="AG224" i="5"/>
  <c r="AF224" i="5"/>
  <c r="B72" i="4"/>
  <c r="C72" i="4"/>
  <c r="C224" i="5"/>
  <c r="E224" i="5"/>
  <c r="K224" i="5"/>
  <c r="L72" i="4"/>
  <c r="Q224" i="5"/>
  <c r="M72" i="4"/>
  <c r="R224" i="5"/>
  <c r="T224" i="5"/>
  <c r="O72" i="4"/>
  <c r="U224" i="5"/>
  <c r="P72" i="4"/>
  <c r="W224" i="5"/>
  <c r="X224" i="5"/>
  <c r="AA224" i="5"/>
  <c r="AI72" i="4"/>
  <c r="T72" i="4" a="1"/>
  <c r="T72" i="4"/>
  <c r="AC224" i="5"/>
  <c r="U72" i="4" a="1"/>
  <c r="U72" i="4"/>
  <c r="AD224" i="5"/>
  <c r="X72" i="4"/>
  <c r="AI224" i="5"/>
  <c r="Y72" i="4"/>
  <c r="AJ224" i="5"/>
  <c r="Z72" i="4"/>
  <c r="AL224" i="5"/>
  <c r="F224" i="5"/>
  <c r="H224" i="5"/>
  <c r="I224" i="5"/>
  <c r="L224" i="5"/>
  <c r="N224" i="5"/>
  <c r="O224" i="5"/>
  <c r="Z224" i="5"/>
  <c r="AN224" i="5"/>
  <c r="O225" i="5"/>
  <c r="B280" i="4"/>
  <c r="H280" i="4"/>
  <c r="K225" i="5"/>
  <c r="AG225" i="5"/>
  <c r="AF225" i="5"/>
  <c r="C280" i="4"/>
  <c r="C225" i="5"/>
  <c r="D280" i="4"/>
  <c r="E225" i="5"/>
  <c r="I280" i="4"/>
  <c r="L225" i="5"/>
  <c r="J280" i="4"/>
  <c r="N225" i="5"/>
  <c r="L280" i="4"/>
  <c r="Q225" i="5"/>
  <c r="M280" i="4"/>
  <c r="R225" i="5"/>
  <c r="T225" i="5"/>
  <c r="O280" i="4"/>
  <c r="U225" i="5"/>
  <c r="P280" i="4"/>
  <c r="W225" i="5"/>
  <c r="Q280" i="4"/>
  <c r="X225" i="5"/>
  <c r="AA225" i="5"/>
  <c r="AI280" i="4"/>
  <c r="T280" i="4" a="1"/>
  <c r="T280" i="4"/>
  <c r="AC225" i="5"/>
  <c r="U280" i="4" a="1"/>
  <c r="U280" i="4"/>
  <c r="AD225" i="5"/>
  <c r="X280" i="4"/>
  <c r="AI225" i="5"/>
  <c r="Y280" i="4"/>
  <c r="AJ225" i="5"/>
  <c r="Z280" i="4"/>
  <c r="AL225" i="5"/>
  <c r="F225" i="5"/>
  <c r="H225" i="5"/>
  <c r="I225" i="5"/>
  <c r="Z225" i="5"/>
  <c r="AN225" i="5"/>
  <c r="AG226" i="5"/>
  <c r="AF226" i="5"/>
  <c r="C281" i="4"/>
  <c r="C226" i="5"/>
  <c r="T226" i="5"/>
  <c r="O281" i="4"/>
  <c r="U226" i="5"/>
  <c r="P281" i="4"/>
  <c r="W226" i="5"/>
  <c r="S281" i="4"/>
  <c r="AA226" i="5"/>
  <c r="AI281" i="4"/>
  <c r="T281" i="4" a="1"/>
  <c r="T281" i="4"/>
  <c r="AC226" i="5"/>
  <c r="U281" i="4" a="1"/>
  <c r="U281" i="4"/>
  <c r="AD226" i="5"/>
  <c r="X281" i="4"/>
  <c r="AI226" i="5"/>
  <c r="Y281" i="4"/>
  <c r="AJ226" i="5"/>
  <c r="Z281" i="4"/>
  <c r="AL226" i="5"/>
  <c r="X226" i="5"/>
  <c r="Z226" i="5"/>
  <c r="AN226" i="5"/>
  <c r="AG227" i="5"/>
  <c r="AF227" i="5"/>
  <c r="C231" i="4"/>
  <c r="C227" i="5"/>
  <c r="T227" i="5"/>
  <c r="U227" i="5"/>
  <c r="P231" i="4"/>
  <c r="W227" i="5"/>
  <c r="Q231" i="4"/>
  <c r="X227" i="5"/>
  <c r="R231" i="4"/>
  <c r="Z227" i="5"/>
  <c r="S231" i="4"/>
  <c r="AA227" i="5"/>
  <c r="AI231" i="4"/>
  <c r="T231" i="4" a="1"/>
  <c r="T231" i="4"/>
  <c r="AC227" i="5"/>
  <c r="U231" i="4" a="1"/>
  <c r="U231" i="4"/>
  <c r="AD227" i="5"/>
  <c r="X231" i="4"/>
  <c r="AI227" i="5"/>
  <c r="Y231" i="4"/>
  <c r="AJ227" i="5"/>
  <c r="Z231" i="4"/>
  <c r="AL227" i="5"/>
  <c r="AN227" i="5"/>
  <c r="AG228" i="5"/>
  <c r="AF228" i="5"/>
  <c r="B282" i="4"/>
  <c r="C282" i="4"/>
  <c r="C228" i="5"/>
  <c r="E228" i="5"/>
  <c r="H282" i="4"/>
  <c r="K228" i="5"/>
  <c r="L282" i="4"/>
  <c r="Q228" i="5"/>
  <c r="M282" i="4"/>
  <c r="R228" i="5"/>
  <c r="T228" i="5"/>
  <c r="O282" i="4"/>
  <c r="U228" i="5"/>
  <c r="P282" i="4"/>
  <c r="W228" i="5"/>
  <c r="X228" i="5"/>
  <c r="AA228" i="5"/>
  <c r="AI282" i="4"/>
  <c r="T282" i="4" a="1"/>
  <c r="T282" i="4"/>
  <c r="AC228" i="5"/>
  <c r="U282" i="4" a="1"/>
  <c r="U282" i="4"/>
  <c r="AD228" i="5"/>
  <c r="AI228" i="5"/>
  <c r="AJ228" i="5"/>
  <c r="Z282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287" i="4"/>
  <c r="C287" i="4"/>
  <c r="C229" i="5"/>
  <c r="D287" i="4"/>
  <c r="E229" i="5"/>
  <c r="E287" i="4"/>
  <c r="F229" i="5"/>
  <c r="F287" i="4"/>
  <c r="H229" i="5"/>
  <c r="I229" i="5"/>
  <c r="I287" i="4"/>
  <c r="L229" i="5"/>
  <c r="J287" i="4"/>
  <c r="N229" i="5"/>
  <c r="L287" i="4"/>
  <c r="Q229" i="5"/>
  <c r="M287" i="4"/>
  <c r="R229" i="5"/>
  <c r="T229" i="5"/>
  <c r="O287" i="4"/>
  <c r="U229" i="5"/>
  <c r="P287" i="4"/>
  <c r="W229" i="5"/>
  <c r="Q287" i="4"/>
  <c r="X229" i="5"/>
  <c r="S287" i="4"/>
  <c r="AA229" i="5"/>
  <c r="AI287" i="4"/>
  <c r="T287" i="4" a="1"/>
  <c r="T287" i="4"/>
  <c r="AC229" i="5"/>
  <c r="U287" i="4" a="1"/>
  <c r="U287" i="4"/>
  <c r="AD229" i="5"/>
  <c r="AI229" i="5"/>
  <c r="Y287" i="4"/>
  <c r="AJ229" i="5"/>
  <c r="Z287" i="4"/>
  <c r="AL229" i="5"/>
  <c r="Z229" i="5"/>
  <c r="AN229" i="5"/>
  <c r="AG230" i="5"/>
  <c r="AF230" i="5"/>
  <c r="B232" i="4"/>
  <c r="C232" i="4"/>
  <c r="C230" i="5"/>
  <c r="D232" i="4"/>
  <c r="E230" i="5"/>
  <c r="E232" i="4"/>
  <c r="F230" i="5"/>
  <c r="F232" i="4"/>
  <c r="H230" i="5"/>
  <c r="I230" i="5"/>
  <c r="H232" i="4"/>
  <c r="K230" i="5"/>
  <c r="L232" i="4"/>
  <c r="Q230" i="5"/>
  <c r="M232" i="4"/>
  <c r="R230" i="5"/>
  <c r="T230" i="5"/>
  <c r="O232" i="4"/>
  <c r="U230" i="5"/>
  <c r="P232" i="4"/>
  <c r="W230" i="5"/>
  <c r="Q232" i="4"/>
  <c r="X230" i="5"/>
  <c r="S232" i="4"/>
  <c r="AA230" i="5"/>
  <c r="AI232" i="4"/>
  <c r="T232" i="4" a="1"/>
  <c r="T232" i="4"/>
  <c r="AC230" i="5"/>
  <c r="U232" i="4" a="1"/>
  <c r="U232" i="4"/>
  <c r="AD230" i="5"/>
  <c r="X232" i="4"/>
  <c r="AI230" i="5"/>
  <c r="Y232" i="4"/>
  <c r="AJ230" i="5"/>
  <c r="Z232" i="4"/>
  <c r="AL230" i="5"/>
  <c r="L230" i="5"/>
  <c r="N230" i="5"/>
  <c r="O230" i="5"/>
  <c r="Z230" i="5"/>
  <c r="AN230" i="5"/>
  <c r="AG231" i="5"/>
  <c r="AF231" i="5"/>
  <c r="C233" i="4"/>
  <c r="C231" i="5"/>
  <c r="T231" i="5"/>
  <c r="U231" i="5"/>
  <c r="P233" i="4"/>
  <c r="W231" i="5"/>
  <c r="Q233" i="4"/>
  <c r="X231" i="5"/>
  <c r="S233" i="4"/>
  <c r="AA231" i="5"/>
  <c r="AI233" i="4"/>
  <c r="T233" i="4" a="1"/>
  <c r="T233" i="4"/>
  <c r="AC231" i="5"/>
  <c r="U233" i="4" a="1"/>
  <c r="U233" i="4"/>
  <c r="AD231" i="5"/>
  <c r="X233" i="4"/>
  <c r="AI231" i="5"/>
  <c r="Y233" i="4"/>
  <c r="AJ231" i="5"/>
  <c r="Z233" i="4"/>
  <c r="AL231" i="5"/>
  <c r="Z231" i="5"/>
  <c r="AN231" i="5"/>
  <c r="AG232" i="5"/>
  <c r="AF232" i="5"/>
  <c r="B234" i="4"/>
  <c r="C234" i="4"/>
  <c r="C232" i="5"/>
  <c r="D234" i="4"/>
  <c r="E232" i="5"/>
  <c r="H234" i="4"/>
  <c r="K232" i="5"/>
  <c r="L234" i="4"/>
  <c r="Q232" i="5"/>
  <c r="M234" i="4"/>
  <c r="R232" i="5"/>
  <c r="T232" i="5"/>
  <c r="O234" i="4"/>
  <c r="U232" i="5"/>
  <c r="P234" i="4"/>
  <c r="W232" i="5"/>
  <c r="Q234" i="4"/>
  <c r="X232" i="5"/>
  <c r="S234" i="4"/>
  <c r="AA232" i="5"/>
  <c r="AI234" i="4"/>
  <c r="T234" i="4" a="1"/>
  <c r="T234" i="4"/>
  <c r="AC232" i="5"/>
  <c r="U234" i="4" a="1"/>
  <c r="U234" i="4"/>
  <c r="AD232" i="5"/>
  <c r="X234" i="4"/>
  <c r="AI232" i="5"/>
  <c r="Y234" i="4"/>
  <c r="AJ232" i="5"/>
  <c r="Z234" i="4"/>
  <c r="AL232" i="5"/>
  <c r="L232" i="5"/>
  <c r="N232" i="5"/>
  <c r="O232" i="5"/>
  <c r="F232" i="5"/>
  <c r="H232" i="5"/>
  <c r="I232" i="5"/>
  <c r="Z232" i="5"/>
  <c r="AN232" i="5"/>
  <c r="AG233" i="5"/>
  <c r="AF233" i="5"/>
  <c r="B236" i="4"/>
  <c r="C236" i="4"/>
  <c r="C233" i="5"/>
  <c r="D236" i="4"/>
  <c r="E233" i="5"/>
  <c r="H236" i="4"/>
  <c r="K233" i="5"/>
  <c r="L236" i="4"/>
  <c r="Q233" i="5"/>
  <c r="M236" i="4"/>
  <c r="R233" i="5"/>
  <c r="T233" i="5"/>
  <c r="O236" i="4"/>
  <c r="U233" i="5"/>
  <c r="P236" i="4"/>
  <c r="W233" i="5"/>
  <c r="Q236" i="4"/>
  <c r="X233" i="5"/>
  <c r="S236" i="4"/>
  <c r="AA233" i="5"/>
  <c r="AI236" i="4"/>
  <c r="T236" i="4" a="1"/>
  <c r="T236" i="4"/>
  <c r="AC233" i="5"/>
  <c r="U236" i="4" a="1"/>
  <c r="U236" i="4"/>
  <c r="AD233" i="5"/>
  <c r="X236" i="4"/>
  <c r="AI233" i="5"/>
  <c r="Y236" i="4"/>
  <c r="AJ233" i="5"/>
  <c r="Z236" i="4"/>
  <c r="AL233" i="5"/>
  <c r="L233" i="5"/>
  <c r="N233" i="5"/>
  <c r="O233" i="5"/>
  <c r="F233" i="5"/>
  <c r="H233" i="5"/>
  <c r="I233" i="5"/>
  <c r="Z233" i="5"/>
  <c r="AN233" i="5"/>
  <c r="S78" i="4"/>
  <c r="AA234" i="5"/>
  <c r="P78" i="4"/>
  <c r="W234" i="5"/>
  <c r="AG234" i="5"/>
  <c r="AF234" i="5"/>
  <c r="C78" i="4"/>
  <c r="C234" i="5"/>
  <c r="D78" i="4"/>
  <c r="E234" i="5"/>
  <c r="K234" i="5"/>
  <c r="L78" i="4"/>
  <c r="Q234" i="5"/>
  <c r="M78" i="4"/>
  <c r="R234" i="5"/>
  <c r="T234" i="5"/>
  <c r="U234" i="5"/>
  <c r="Q78" i="4"/>
  <c r="X234" i="5"/>
  <c r="R78" i="4"/>
  <c r="Z234" i="5"/>
  <c r="AI78" i="4"/>
  <c r="T78" i="4" a="1"/>
  <c r="T78" i="4"/>
  <c r="AC234" i="5"/>
  <c r="U78" i="4" a="1"/>
  <c r="U78" i="4"/>
  <c r="AD234" i="5"/>
  <c r="X78" i="4"/>
  <c r="AI234" i="5"/>
  <c r="Y78" i="4"/>
  <c r="AJ234" i="5"/>
  <c r="Z78" i="4"/>
  <c r="AL234" i="5"/>
  <c r="L234" i="5"/>
  <c r="N234" i="5"/>
  <c r="O234" i="5"/>
  <c r="F234" i="5"/>
  <c r="H234" i="5"/>
  <c r="I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I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F235" i="5"/>
  <c r="H235" i="5"/>
  <c r="I235" i="5"/>
  <c r="L235" i="5"/>
  <c r="N235" i="5"/>
  <c r="O235" i="5"/>
  <c r="Z235" i="5"/>
  <c r="AN235" i="5"/>
  <c r="AG236" i="5"/>
  <c r="AF236" i="5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I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F236" i="5"/>
  <c r="H236" i="5"/>
  <c r="I236" i="5"/>
  <c r="L236" i="5"/>
  <c r="N236" i="5"/>
  <c r="O236" i="5"/>
  <c r="Z236" i="5"/>
  <c r="AN236" i="5"/>
  <c r="AG237" i="5"/>
  <c r="AF237" i="5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I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F237" i="5"/>
  <c r="H237" i="5"/>
  <c r="I237" i="5"/>
  <c r="L237" i="5"/>
  <c r="N237" i="5"/>
  <c r="O237" i="5"/>
  <c r="Z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I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F238" i="5"/>
  <c r="H238" i="5"/>
  <c r="I238" i="5"/>
  <c r="L238" i="5"/>
  <c r="N238" i="5"/>
  <c r="O238" i="5"/>
  <c r="Z238" i="5"/>
  <c r="AN238" i="5"/>
  <c r="AG239" i="5"/>
  <c r="AF239" i="5"/>
  <c r="C84" i="4"/>
  <c r="C239" i="5"/>
  <c r="D84" i="4"/>
  <c r="E239" i="5"/>
  <c r="K239" i="5"/>
  <c r="L84" i="4"/>
  <c r="Q239" i="5"/>
  <c r="M84" i="4"/>
  <c r="R239" i="5"/>
  <c r="T239" i="5"/>
  <c r="U239" i="5"/>
  <c r="P84" i="4"/>
  <c r="W239" i="5"/>
  <c r="Q84" i="4"/>
  <c r="X239" i="5"/>
  <c r="S84" i="4"/>
  <c r="AA239" i="5"/>
  <c r="AI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83" i="4"/>
  <c r="C242" i="5"/>
  <c r="T242" i="5"/>
  <c r="O283" i="4"/>
  <c r="U242" i="5"/>
  <c r="P283" i="4"/>
  <c r="W242" i="5"/>
  <c r="S283" i="4"/>
  <c r="AA242" i="5"/>
  <c r="AI283" i="4"/>
  <c r="T283" i="4" a="1"/>
  <c r="T283" i="4"/>
  <c r="AC242" i="5"/>
  <c r="U283" i="4" a="1"/>
  <c r="U283" i="4"/>
  <c r="AD242" i="5"/>
  <c r="X283" i="4"/>
  <c r="AI242" i="5"/>
  <c r="Y283" i="4"/>
  <c r="AJ242" i="5"/>
  <c r="Z283" i="4"/>
  <c r="AL242" i="5"/>
  <c r="X242" i="5"/>
  <c r="Z242" i="5"/>
  <c r="AN242" i="5"/>
  <c r="AG243" i="5"/>
  <c r="AF243" i="5"/>
  <c r="B237" i="4"/>
  <c r="C237" i="4"/>
  <c r="C243" i="5"/>
  <c r="D237" i="4"/>
  <c r="E243" i="5"/>
  <c r="H237" i="4"/>
  <c r="K243" i="5"/>
  <c r="L237" i="4"/>
  <c r="Q243" i="5"/>
  <c r="M237" i="4"/>
  <c r="R243" i="5"/>
  <c r="T243" i="5"/>
  <c r="U243" i="5"/>
  <c r="P237" i="4"/>
  <c r="W243" i="5"/>
  <c r="Q237" i="4"/>
  <c r="X243" i="5"/>
  <c r="AA243" i="5"/>
  <c r="AI237" i="4"/>
  <c r="T237" i="4" a="1"/>
  <c r="T237" i="4"/>
  <c r="AC243" i="5"/>
  <c r="U237" i="4" a="1"/>
  <c r="U237" i="4"/>
  <c r="AD243" i="5"/>
  <c r="Y237" i="4"/>
  <c r="AJ243" i="5"/>
  <c r="Z237" i="4"/>
  <c r="AL243" i="5"/>
  <c r="F243" i="5"/>
  <c r="H243" i="5"/>
  <c r="I243" i="5"/>
  <c r="L243" i="5"/>
  <c r="N243" i="5"/>
  <c r="O243" i="5"/>
  <c r="Z243" i="5"/>
  <c r="AN243" i="5"/>
  <c r="AG244" i="5"/>
  <c r="AF244" i="5"/>
  <c r="B238" i="4"/>
  <c r="C238" i="4"/>
  <c r="C244" i="5"/>
  <c r="D238" i="4"/>
  <c r="E244" i="5"/>
  <c r="H238" i="4"/>
  <c r="K244" i="5"/>
  <c r="L238" i="4"/>
  <c r="Q244" i="5"/>
  <c r="M238" i="4"/>
  <c r="R244" i="5"/>
  <c r="T244" i="5"/>
  <c r="O238" i="4"/>
  <c r="U244" i="5"/>
  <c r="P238" i="4"/>
  <c r="W244" i="5"/>
  <c r="Q238" i="4"/>
  <c r="X244" i="5"/>
  <c r="AA244" i="5"/>
  <c r="AI238" i="4"/>
  <c r="T238" i="4" a="1"/>
  <c r="T238" i="4"/>
  <c r="AC244" i="5"/>
  <c r="U238" i="4" a="1"/>
  <c r="U238" i="4"/>
  <c r="AD244" i="5"/>
  <c r="AI244" i="5"/>
  <c r="Y238" i="4"/>
  <c r="AJ244" i="5"/>
  <c r="Z238" i="4"/>
  <c r="AL244" i="5"/>
  <c r="F244" i="5"/>
  <c r="H244" i="5"/>
  <c r="I244" i="5"/>
  <c r="L244" i="5"/>
  <c r="N244" i="5"/>
  <c r="O244" i="5"/>
  <c r="Z244" i="5"/>
  <c r="AN244" i="5"/>
  <c r="AG245" i="5"/>
  <c r="AF245" i="5"/>
  <c r="B239" i="4"/>
  <c r="C239" i="4"/>
  <c r="C245" i="5"/>
  <c r="D239" i="4"/>
  <c r="E245" i="5"/>
  <c r="H239" i="4"/>
  <c r="K245" i="5"/>
  <c r="L239" i="4"/>
  <c r="Q245" i="5"/>
  <c r="M239" i="4"/>
  <c r="R245" i="5"/>
  <c r="T245" i="5"/>
  <c r="O239" i="4"/>
  <c r="U245" i="5"/>
  <c r="P239" i="4"/>
  <c r="W245" i="5"/>
  <c r="Q239" i="4"/>
  <c r="X245" i="5"/>
  <c r="AA245" i="5"/>
  <c r="AI239" i="4"/>
  <c r="T239" i="4" a="1"/>
  <c r="T239" i="4"/>
  <c r="AC245" i="5"/>
  <c r="U239" i="4" a="1"/>
  <c r="U239" i="4"/>
  <c r="AD245" i="5"/>
  <c r="AI245" i="5"/>
  <c r="Y239" i="4"/>
  <c r="AJ245" i="5"/>
  <c r="Z239" i="4"/>
  <c r="AL245" i="5"/>
  <c r="F245" i="5"/>
  <c r="H245" i="5"/>
  <c r="I245" i="5"/>
  <c r="L245" i="5"/>
  <c r="N245" i="5"/>
  <c r="O245" i="5"/>
  <c r="Z245" i="5"/>
  <c r="AN245" i="5"/>
  <c r="AG246" i="5"/>
  <c r="AF246" i="5"/>
  <c r="B240" i="4"/>
  <c r="C240" i="4"/>
  <c r="C246" i="5"/>
  <c r="D240" i="4"/>
  <c r="E246" i="5"/>
  <c r="H240" i="4"/>
  <c r="K246" i="5"/>
  <c r="L240" i="4"/>
  <c r="Q246" i="5"/>
  <c r="M240" i="4"/>
  <c r="R246" i="5"/>
  <c r="T246" i="5"/>
  <c r="U246" i="5"/>
  <c r="P240" i="4"/>
  <c r="W246" i="5"/>
  <c r="Q240" i="4"/>
  <c r="X246" i="5"/>
  <c r="AA246" i="5"/>
  <c r="AI240" i="4"/>
  <c r="T240" i="4" a="1"/>
  <c r="T240" i="4"/>
  <c r="AC246" i="5"/>
  <c r="U240" i="4" a="1"/>
  <c r="U240" i="4"/>
  <c r="AD246" i="5"/>
  <c r="X240" i="4"/>
  <c r="AI246" i="5"/>
  <c r="Y240" i="4"/>
  <c r="AJ246" i="5"/>
  <c r="Z240" i="4"/>
  <c r="AL246" i="5"/>
  <c r="F246" i="5"/>
  <c r="H246" i="5"/>
  <c r="I246" i="5"/>
  <c r="L246" i="5"/>
  <c r="N246" i="5"/>
  <c r="O246" i="5"/>
  <c r="Z246" i="5"/>
  <c r="AN246" i="5"/>
  <c r="AG247" i="5"/>
  <c r="AF247" i="5"/>
  <c r="B241" i="4"/>
  <c r="C241" i="4"/>
  <c r="C247" i="5"/>
  <c r="D241" i="4"/>
  <c r="E247" i="5"/>
  <c r="H241" i="4"/>
  <c r="K247" i="5"/>
  <c r="L241" i="4"/>
  <c r="Q247" i="5"/>
  <c r="M241" i="4"/>
  <c r="R247" i="5"/>
  <c r="T247" i="5"/>
  <c r="U247" i="5"/>
  <c r="P241" i="4"/>
  <c r="W247" i="5"/>
  <c r="Q241" i="4"/>
  <c r="X247" i="5"/>
  <c r="AA247" i="5"/>
  <c r="AI241" i="4"/>
  <c r="T241" i="4" a="1"/>
  <c r="T241" i="4"/>
  <c r="AC247" i="5"/>
  <c r="U241" i="4" a="1"/>
  <c r="U241" i="4"/>
  <c r="AD247" i="5"/>
  <c r="X241" i="4"/>
  <c r="AI247" i="5"/>
  <c r="Y241" i="4"/>
  <c r="AJ247" i="5"/>
  <c r="Z241" i="4"/>
  <c r="AL247" i="5"/>
  <c r="F247" i="5"/>
  <c r="H247" i="5"/>
  <c r="I247" i="5"/>
  <c r="L247" i="5"/>
  <c r="N247" i="5"/>
  <c r="O247" i="5"/>
  <c r="Z247" i="5"/>
  <c r="AN247" i="5"/>
  <c r="AG248" i="5"/>
  <c r="AF248" i="5"/>
  <c r="B242" i="4"/>
  <c r="C242" i="4"/>
  <c r="C248" i="5"/>
  <c r="D242" i="4"/>
  <c r="E248" i="5"/>
  <c r="H242" i="4"/>
  <c r="K248" i="5"/>
  <c r="L242" i="4"/>
  <c r="Q248" i="5"/>
  <c r="M242" i="4"/>
  <c r="R248" i="5"/>
  <c r="T248" i="5"/>
  <c r="U248" i="5"/>
  <c r="P242" i="4"/>
  <c r="W248" i="5"/>
  <c r="Q242" i="4"/>
  <c r="X248" i="5"/>
  <c r="AA248" i="5"/>
  <c r="AI242" i="4"/>
  <c r="T242" i="4" a="1"/>
  <c r="T242" i="4"/>
  <c r="AC248" i="5"/>
  <c r="U242" i="4" a="1"/>
  <c r="U242" i="4"/>
  <c r="AD248" i="5"/>
  <c r="X242" i="4"/>
  <c r="AI248" i="5"/>
  <c r="Y242" i="4"/>
  <c r="AJ248" i="5"/>
  <c r="Z242" i="4"/>
  <c r="AL248" i="5"/>
  <c r="F248" i="5"/>
  <c r="H248" i="5"/>
  <c r="I248" i="5"/>
  <c r="L248" i="5"/>
  <c r="N248" i="5"/>
  <c r="O248" i="5"/>
  <c r="Z248" i="5"/>
  <c r="AN248" i="5"/>
  <c r="AG249" i="5"/>
  <c r="AF249" i="5"/>
  <c r="C243" i="4"/>
  <c r="C249" i="5"/>
  <c r="D243" i="4"/>
  <c r="E249" i="5"/>
  <c r="K249" i="5"/>
  <c r="L243" i="4"/>
  <c r="Q249" i="5"/>
  <c r="M243" i="4"/>
  <c r="R249" i="5"/>
  <c r="T249" i="5"/>
  <c r="U249" i="5"/>
  <c r="P243" i="4"/>
  <c r="W249" i="5"/>
  <c r="Q243" i="4"/>
  <c r="X249" i="5"/>
  <c r="AA249" i="5"/>
  <c r="AI243" i="4"/>
  <c r="T243" i="4" a="1"/>
  <c r="T243" i="4"/>
  <c r="AC249" i="5"/>
  <c r="U243" i="4" a="1"/>
  <c r="U243" i="4"/>
  <c r="AD249" i="5"/>
  <c r="X243" i="4"/>
  <c r="AI249" i="5"/>
  <c r="Y243" i="4"/>
  <c r="AJ249" i="5"/>
  <c r="Z243" i="4"/>
  <c r="AL249" i="5"/>
  <c r="F249" i="5"/>
  <c r="H249" i="5"/>
  <c r="I249" i="5"/>
  <c r="L249" i="5"/>
  <c r="N249" i="5"/>
  <c r="O249" i="5"/>
  <c r="Z249" i="5"/>
  <c r="AN249" i="5"/>
  <c r="AG250" i="5"/>
  <c r="AF250" i="5"/>
  <c r="B244" i="4"/>
  <c r="C244" i="4"/>
  <c r="C250" i="5"/>
  <c r="D244" i="4"/>
  <c r="E250" i="5"/>
  <c r="H244" i="4"/>
  <c r="K250" i="5"/>
  <c r="L244" i="4"/>
  <c r="Q250" i="5"/>
  <c r="M244" i="4"/>
  <c r="R250" i="5"/>
  <c r="T250" i="5"/>
  <c r="O244" i="4"/>
  <c r="U250" i="5"/>
  <c r="P244" i="4"/>
  <c r="W250" i="5"/>
  <c r="Q244" i="4"/>
  <c r="X250" i="5"/>
  <c r="S244" i="4"/>
  <c r="AA250" i="5"/>
  <c r="AI244" i="4"/>
  <c r="T244" i="4" a="1"/>
  <c r="T244" i="4"/>
  <c r="AC250" i="5"/>
  <c r="U244" i="4" a="1"/>
  <c r="U244" i="4"/>
  <c r="AD250" i="5"/>
  <c r="X244" i="4"/>
  <c r="AI250" i="5"/>
  <c r="Y244" i="4"/>
  <c r="AJ250" i="5"/>
  <c r="Z244" i="4"/>
  <c r="AL250" i="5"/>
  <c r="F250" i="5"/>
  <c r="H250" i="5"/>
  <c r="I250" i="5"/>
  <c r="L250" i="5"/>
  <c r="N250" i="5"/>
  <c r="O250" i="5"/>
  <c r="Z250" i="5"/>
  <c r="AN250" i="5"/>
  <c r="AG251" i="5"/>
  <c r="AF251" i="5"/>
  <c r="B300" i="4"/>
  <c r="C300" i="4"/>
  <c r="C251" i="5"/>
  <c r="D300" i="4"/>
  <c r="E251" i="5"/>
  <c r="H300" i="4"/>
  <c r="K251" i="5"/>
  <c r="L300" i="4"/>
  <c r="Q251" i="5"/>
  <c r="M300" i="4"/>
  <c r="R251" i="5"/>
  <c r="T251" i="5"/>
  <c r="O300" i="4"/>
  <c r="U251" i="5"/>
  <c r="P300" i="4"/>
  <c r="W251" i="5"/>
  <c r="Q300" i="4"/>
  <c r="X251" i="5"/>
  <c r="S300" i="4"/>
  <c r="AA251" i="5"/>
  <c r="AI300" i="4"/>
  <c r="T300" i="4" a="1"/>
  <c r="T300" i="4"/>
  <c r="AC251" i="5"/>
  <c r="U300" i="4" a="1"/>
  <c r="U300" i="4"/>
  <c r="AD251" i="5"/>
  <c r="X300" i="4"/>
  <c r="AI251" i="5"/>
  <c r="Y300" i="4"/>
  <c r="AJ251" i="5"/>
  <c r="Z300" i="4"/>
  <c r="AL251" i="5"/>
  <c r="F251" i="5"/>
  <c r="H251" i="5"/>
  <c r="I251" i="5"/>
  <c r="L251" i="5"/>
  <c r="N251" i="5"/>
  <c r="O251" i="5"/>
  <c r="Z251" i="5"/>
  <c r="AN251" i="5"/>
  <c r="AG252" i="5"/>
  <c r="AF252" i="5"/>
  <c r="B247" i="4"/>
  <c r="C247" i="4"/>
  <c r="C252" i="5"/>
  <c r="D247" i="4"/>
  <c r="E252" i="5"/>
  <c r="K252" i="5"/>
  <c r="L247" i="4"/>
  <c r="Q252" i="5"/>
  <c r="M247" i="4"/>
  <c r="T252" i="5"/>
  <c r="O247" i="4"/>
  <c r="U252" i="5"/>
  <c r="P247" i="4"/>
  <c r="W252" i="5"/>
  <c r="Q247" i="4"/>
  <c r="X252" i="5"/>
  <c r="S247" i="4"/>
  <c r="AA252" i="5"/>
  <c r="AI247" i="4"/>
  <c r="T247" i="4" a="1"/>
  <c r="T247" i="4"/>
  <c r="AC252" i="5"/>
  <c r="U247" i="4" a="1"/>
  <c r="U247" i="4"/>
  <c r="AD252" i="5"/>
  <c r="X247" i="4"/>
  <c r="AI252" i="5"/>
  <c r="Y247" i="4"/>
  <c r="AJ252" i="5"/>
  <c r="Z247" i="4"/>
  <c r="AL252" i="5"/>
  <c r="F252" i="5"/>
  <c r="H252" i="5"/>
  <c r="I252" i="5"/>
  <c r="L252" i="5"/>
  <c r="N252" i="5"/>
  <c r="O252" i="5"/>
  <c r="Z252" i="5"/>
  <c r="AN252" i="5"/>
  <c r="AG253" i="5"/>
  <c r="AF253" i="5"/>
  <c r="B40" i="4"/>
  <c r="C40" i="4"/>
  <c r="C253" i="5"/>
  <c r="D40" i="4"/>
  <c r="E253" i="5"/>
  <c r="K253" i="5"/>
  <c r="L40" i="4"/>
  <c r="Q253" i="5"/>
  <c r="M40" i="4"/>
  <c r="R253" i="5"/>
  <c r="T253" i="5"/>
  <c r="U253" i="5"/>
  <c r="P40" i="4"/>
  <c r="W253" i="5"/>
  <c r="Q40" i="4"/>
  <c r="X253" i="5"/>
  <c r="AA253" i="5"/>
  <c r="AI40" i="4"/>
  <c r="T40" i="4" a="1"/>
  <c r="T40" i="4"/>
  <c r="AC253" i="5"/>
  <c r="U40" i="4" a="1"/>
  <c r="U40" i="4"/>
  <c r="AD253" i="5"/>
  <c r="X40" i="4"/>
  <c r="AI253" i="5"/>
  <c r="Y40" i="4"/>
  <c r="AJ253" i="5"/>
  <c r="Z40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" i="4"/>
  <c r="C2" i="4"/>
  <c r="C254" i="5"/>
  <c r="D2" i="4"/>
  <c r="E254" i="5"/>
  <c r="I2" i="4"/>
  <c r="L254" i="5"/>
  <c r="J2" i="4"/>
  <c r="N254" i="5"/>
  <c r="L2" i="4"/>
  <c r="Q254" i="5"/>
  <c r="M2" i="4"/>
  <c r="R254" i="5"/>
  <c r="T254" i="5"/>
  <c r="U254" i="5"/>
  <c r="P2" i="4"/>
  <c r="W254" i="5"/>
  <c r="Q2" i="4"/>
  <c r="X254" i="5"/>
  <c r="S2" i="4"/>
  <c r="AA254" i="5"/>
  <c r="AI2" i="4"/>
  <c r="T2" i="4" a="1"/>
  <c r="T2" i="4"/>
  <c r="AC254" i="5"/>
  <c r="U2" i="4" a="1"/>
  <c r="U2" i="4"/>
  <c r="AD254" i="5"/>
  <c r="X2" i="4"/>
  <c r="AI254" i="5"/>
  <c r="Y2" i="4"/>
  <c r="AJ254" i="5"/>
  <c r="Z2" i="4"/>
  <c r="AL254" i="5"/>
  <c r="F254" i="5"/>
  <c r="H254" i="5"/>
  <c r="I254" i="5"/>
  <c r="Z254" i="5"/>
  <c r="AN254" i="5"/>
  <c r="AG255" i="5"/>
  <c r="AF255" i="5"/>
  <c r="C125" i="4"/>
  <c r="C255" i="5"/>
  <c r="T255" i="5"/>
  <c r="U255" i="5"/>
  <c r="P125" i="4"/>
  <c r="W255" i="5"/>
  <c r="Q125" i="4"/>
  <c r="X255" i="5"/>
  <c r="AA255" i="5"/>
  <c r="AI125" i="4"/>
  <c r="T125" i="4" a="1"/>
  <c r="T125" i="4"/>
  <c r="AC255" i="5"/>
  <c r="U125" i="4" a="1"/>
  <c r="U125" i="4"/>
  <c r="AD255" i="5"/>
  <c r="X125" i="4"/>
  <c r="AI255" i="5"/>
  <c r="Y125" i="4"/>
  <c r="AJ255" i="5"/>
  <c r="Z125" i="4"/>
  <c r="AL255" i="5"/>
  <c r="Z255" i="5"/>
  <c r="AN255" i="5"/>
  <c r="O256" i="5"/>
  <c r="B278" i="4"/>
  <c r="H278" i="4"/>
  <c r="K256" i="5"/>
  <c r="AG256" i="5"/>
  <c r="AF256" i="5"/>
  <c r="C278" i="4"/>
  <c r="C256" i="5"/>
  <c r="D278" i="4"/>
  <c r="E256" i="5"/>
  <c r="I278" i="4"/>
  <c r="L256" i="5"/>
  <c r="J278" i="4"/>
  <c r="N256" i="5"/>
  <c r="L278" i="4"/>
  <c r="Q256" i="5"/>
  <c r="M278" i="4"/>
  <c r="R256" i="5"/>
  <c r="T256" i="5"/>
  <c r="O278" i="4"/>
  <c r="U256" i="5"/>
  <c r="P278" i="4"/>
  <c r="W256" i="5"/>
  <c r="Q278" i="4"/>
  <c r="X256" i="5"/>
  <c r="AA256" i="5"/>
  <c r="AI278" i="4"/>
  <c r="T278" i="4" a="1"/>
  <c r="T278" i="4"/>
  <c r="AC256" i="5"/>
  <c r="U278" i="4" a="1"/>
  <c r="U278" i="4"/>
  <c r="AD256" i="5"/>
  <c r="X278" i="4"/>
  <c r="AI256" i="5"/>
  <c r="Y278" i="4"/>
  <c r="AJ256" i="5"/>
  <c r="Z278" i="4"/>
  <c r="AL256" i="5"/>
  <c r="F256" i="5"/>
  <c r="H256" i="5"/>
  <c r="I256" i="5"/>
  <c r="Z256" i="5"/>
  <c r="AN256" i="5"/>
  <c r="AG257" i="5"/>
  <c r="AF257" i="5"/>
  <c r="B176" i="4"/>
  <c r="C176" i="4"/>
  <c r="C257" i="5"/>
  <c r="D176" i="4"/>
  <c r="E257" i="5"/>
  <c r="H176" i="4"/>
  <c r="K257" i="5"/>
  <c r="L176" i="4"/>
  <c r="Q257" i="5"/>
  <c r="M176" i="4"/>
  <c r="R257" i="5"/>
  <c r="T257" i="5"/>
  <c r="O176" i="4"/>
  <c r="U257" i="5"/>
  <c r="W257" i="5"/>
  <c r="Q176" i="4"/>
  <c r="X257" i="5"/>
  <c r="AA257" i="5"/>
  <c r="AI176" i="4"/>
  <c r="T176" i="4" a="1"/>
  <c r="T176" i="4"/>
  <c r="AC257" i="5"/>
  <c r="U176" i="4" a="1"/>
  <c r="U176" i="4"/>
  <c r="AD257" i="5"/>
  <c r="X176" i="4"/>
  <c r="AI257" i="5"/>
  <c r="Y176" i="4"/>
  <c r="AJ257" i="5"/>
  <c r="Z176" i="4"/>
  <c r="AL257" i="5"/>
  <c r="F257" i="5"/>
  <c r="H257" i="5"/>
  <c r="I257" i="5"/>
  <c r="L257" i="5"/>
  <c r="N257" i="5"/>
  <c r="O257" i="5"/>
  <c r="Z257" i="5"/>
  <c r="AN257" i="5"/>
  <c r="AG258" i="5"/>
  <c r="AF258" i="5"/>
  <c r="B53" i="4"/>
  <c r="C53" i="4"/>
  <c r="C258" i="5"/>
  <c r="D53" i="4"/>
  <c r="E258" i="5"/>
  <c r="K258" i="5"/>
  <c r="L53" i="4"/>
  <c r="Q258" i="5"/>
  <c r="M53" i="4"/>
  <c r="R258" i="5"/>
  <c r="T258" i="5"/>
  <c r="U258" i="5"/>
  <c r="W258" i="5"/>
  <c r="Q53" i="4"/>
  <c r="X258" i="5"/>
  <c r="AA258" i="5"/>
  <c r="AI53" i="4"/>
  <c r="T53" i="4" a="1"/>
  <c r="T53" i="4"/>
  <c r="AC258" i="5"/>
  <c r="U53" i="4" a="1"/>
  <c r="U53" i="4"/>
  <c r="AD258" i="5"/>
  <c r="X53" i="4"/>
  <c r="AI258" i="5"/>
  <c r="Y53" i="4"/>
  <c r="AJ258" i="5"/>
  <c r="Z53" i="4"/>
  <c r="AL258" i="5"/>
  <c r="F258" i="5"/>
  <c r="H258" i="5"/>
  <c r="I258" i="5"/>
  <c r="L258" i="5"/>
  <c r="N258" i="5"/>
  <c r="O258" i="5"/>
  <c r="Z258" i="5"/>
  <c r="AN258" i="5"/>
  <c r="AG259" i="5"/>
  <c r="AF259" i="5"/>
  <c r="B220" i="4"/>
  <c r="C220" i="4"/>
  <c r="C259" i="5"/>
  <c r="D220" i="4"/>
  <c r="E259" i="5"/>
  <c r="H220" i="4"/>
  <c r="K259" i="5"/>
  <c r="L220" i="4"/>
  <c r="Q259" i="5"/>
  <c r="M220" i="4"/>
  <c r="R259" i="5"/>
  <c r="T259" i="5"/>
  <c r="O220" i="4"/>
  <c r="U259" i="5"/>
  <c r="P220" i="4"/>
  <c r="W259" i="5"/>
  <c r="Q220" i="4"/>
  <c r="X259" i="5"/>
  <c r="S220" i="4"/>
  <c r="AA259" i="5"/>
  <c r="AI220" i="4"/>
  <c r="T220" i="4" a="1"/>
  <c r="T220" i="4"/>
  <c r="AC259" i="5"/>
  <c r="U220" i="4" a="1"/>
  <c r="U220" i="4"/>
  <c r="AD259" i="5"/>
  <c r="X220" i="4"/>
  <c r="AI259" i="5"/>
  <c r="Y220" i="4"/>
  <c r="AJ259" i="5"/>
  <c r="Z220" i="4"/>
  <c r="AL259" i="5"/>
  <c r="F259" i="5"/>
  <c r="H259" i="5"/>
  <c r="I259" i="5"/>
  <c r="L259" i="5"/>
  <c r="N259" i="5"/>
  <c r="O259" i="5"/>
  <c r="Z259" i="5"/>
  <c r="AN259" i="5"/>
  <c r="AG260" i="5"/>
  <c r="AF260" i="5"/>
  <c r="C43" i="4"/>
  <c r="C260" i="5"/>
  <c r="T260" i="5"/>
  <c r="U260" i="5"/>
  <c r="P43" i="4"/>
  <c r="W260" i="5"/>
  <c r="Q43" i="4"/>
  <c r="X260" i="5"/>
  <c r="S43" i="4"/>
  <c r="AA260" i="5"/>
  <c r="AI43" i="4"/>
  <c r="T43" i="4" a="1"/>
  <c r="T43" i="4"/>
  <c r="AC260" i="5"/>
  <c r="U43" i="4" a="1"/>
  <c r="U43" i="4"/>
  <c r="AD260" i="5"/>
  <c r="X43" i="4"/>
  <c r="AI260" i="5"/>
  <c r="Y43" i="4"/>
  <c r="AJ260" i="5"/>
  <c r="Z43" i="4"/>
  <c r="AL260" i="5"/>
  <c r="F260" i="5"/>
  <c r="H260" i="5"/>
  <c r="I260" i="5"/>
  <c r="L260" i="5"/>
  <c r="N260" i="5"/>
  <c r="O260" i="5"/>
  <c r="Z260" i="5"/>
  <c r="AN260" i="5"/>
  <c r="AG261" i="5"/>
  <c r="AF261" i="5"/>
  <c r="C26" i="4"/>
  <c r="C261" i="5"/>
  <c r="T261" i="5"/>
  <c r="U261" i="5"/>
  <c r="P26" i="4"/>
  <c r="W261" i="5"/>
  <c r="Q26" i="4"/>
  <c r="X261" i="5"/>
  <c r="S26" i="4"/>
  <c r="AA261" i="5"/>
  <c r="AI26" i="4"/>
  <c r="T26" i="4" a="1"/>
  <c r="T26" i="4"/>
  <c r="AC261" i="5"/>
  <c r="U26" i="4" a="1"/>
  <c r="U26" i="4"/>
  <c r="AD261" i="5"/>
  <c r="X26" i="4"/>
  <c r="AI261" i="5"/>
  <c r="Y26" i="4"/>
  <c r="AJ261" i="5"/>
  <c r="Z26" i="4"/>
  <c r="AL261" i="5"/>
  <c r="F261" i="5"/>
  <c r="H261" i="5"/>
  <c r="I261" i="5"/>
  <c r="L261" i="5"/>
  <c r="N261" i="5"/>
  <c r="O261" i="5"/>
  <c r="Z261" i="5"/>
  <c r="AN261" i="5"/>
  <c r="AG262" i="5"/>
  <c r="AF262" i="5"/>
  <c r="B28" i="4"/>
  <c r="C28" i="4"/>
  <c r="C262" i="5"/>
  <c r="D28" i="4"/>
  <c r="E262" i="5"/>
  <c r="K262" i="5"/>
  <c r="L28" i="4"/>
  <c r="Q262" i="5"/>
  <c r="M28" i="4"/>
  <c r="R262" i="5"/>
  <c r="N28" i="4"/>
  <c r="T262" i="5"/>
  <c r="O28" i="4"/>
  <c r="U262" i="5"/>
  <c r="P28" i="4"/>
  <c r="W262" i="5"/>
  <c r="Q28" i="4"/>
  <c r="X262" i="5"/>
  <c r="S28" i="4"/>
  <c r="AA262" i="5"/>
  <c r="X28" i="4"/>
  <c r="AI262" i="5"/>
  <c r="Y28" i="4"/>
  <c r="AJ262" i="5"/>
  <c r="Z28" i="4"/>
  <c r="AL262" i="5"/>
  <c r="F262" i="5"/>
  <c r="H262" i="5"/>
  <c r="I262" i="5"/>
  <c r="L262" i="5"/>
  <c r="N262" i="5"/>
  <c r="O262" i="5"/>
  <c r="Z262" i="5"/>
  <c r="AN262" i="5"/>
  <c r="AG263" i="5"/>
  <c r="AF263" i="5"/>
  <c r="C35" i="4"/>
  <c r="C263" i="5"/>
  <c r="D35" i="4"/>
  <c r="E263" i="5"/>
  <c r="K263" i="5"/>
  <c r="L35" i="4"/>
  <c r="Q263" i="5"/>
  <c r="M35" i="4"/>
  <c r="R263" i="5"/>
  <c r="T263" i="5"/>
  <c r="U263" i="5"/>
  <c r="P35" i="4"/>
  <c r="W263" i="5"/>
  <c r="Q35" i="4"/>
  <c r="X263" i="5"/>
  <c r="S35" i="4"/>
  <c r="AA263" i="5"/>
  <c r="AI35" i="4"/>
  <c r="T35" i="4" a="1"/>
  <c r="T35" i="4"/>
  <c r="AC263" i="5"/>
  <c r="U35" i="4" a="1"/>
  <c r="U35" i="4"/>
  <c r="AD263" i="5"/>
  <c r="X35" i="4"/>
  <c r="AI263" i="5"/>
  <c r="Y35" i="4"/>
  <c r="AJ263" i="5"/>
  <c r="Z35" i="4"/>
  <c r="AL263" i="5"/>
  <c r="F263" i="5"/>
  <c r="H263" i="5"/>
  <c r="I263" i="5"/>
  <c r="L263" i="5"/>
  <c r="N263" i="5"/>
  <c r="O263" i="5"/>
  <c r="Z263" i="5"/>
  <c r="AN263" i="5"/>
  <c r="AG264" i="5"/>
  <c r="AF264" i="5"/>
  <c r="C253" i="4"/>
  <c r="C264" i="5"/>
  <c r="N253" i="4"/>
  <c r="T264" i="5"/>
  <c r="O253" i="4"/>
  <c r="U264" i="5"/>
  <c r="P253" i="4"/>
  <c r="W264" i="5"/>
  <c r="Q253" i="4"/>
  <c r="X264" i="5"/>
  <c r="AA264" i="5"/>
  <c r="AI253" i="4"/>
  <c r="T253" i="4" a="1"/>
  <c r="T253" i="4"/>
  <c r="AC264" i="5"/>
  <c r="U253" i="4" a="1"/>
  <c r="U253" i="4"/>
  <c r="AD264" i="5"/>
  <c r="X253" i="4"/>
  <c r="AI264" i="5"/>
  <c r="Y253" i="4"/>
  <c r="AJ264" i="5"/>
  <c r="Z253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4" i="4"/>
  <c r="C4" i="4"/>
  <c r="C265" i="5"/>
  <c r="D4" i="4"/>
  <c r="E265" i="5"/>
  <c r="E4" i="4"/>
  <c r="F265" i="5"/>
  <c r="F4" i="4"/>
  <c r="H265" i="5"/>
  <c r="I265" i="5"/>
  <c r="I4" i="4"/>
  <c r="L265" i="5"/>
  <c r="J4" i="4"/>
  <c r="N265" i="5"/>
  <c r="L4" i="4"/>
  <c r="Q265" i="5"/>
  <c r="M4" i="4"/>
  <c r="R265" i="5"/>
  <c r="N4" i="4"/>
  <c r="T265" i="5"/>
  <c r="U265" i="5"/>
  <c r="P4" i="4"/>
  <c r="W265" i="5"/>
  <c r="Q4" i="4"/>
  <c r="X265" i="5"/>
  <c r="AA265" i="5"/>
  <c r="AI4" i="4"/>
  <c r="T4" i="4" a="1"/>
  <c r="T4" i="4"/>
  <c r="AC265" i="5"/>
  <c r="U4" i="4" a="1"/>
  <c r="U4" i="4"/>
  <c r="AD265" i="5"/>
  <c r="AI265" i="5"/>
  <c r="Y4" i="4"/>
  <c r="AJ265" i="5"/>
  <c r="Z4" i="4"/>
  <c r="AL265" i="5"/>
  <c r="Z265" i="5"/>
  <c r="AN265" i="5"/>
  <c r="AG266" i="5"/>
  <c r="AF266" i="5"/>
  <c r="B95" i="4"/>
  <c r="C95" i="4"/>
  <c r="C266" i="5"/>
  <c r="D95" i="4"/>
  <c r="E266" i="5"/>
  <c r="H95" i="4"/>
  <c r="K266" i="5"/>
  <c r="I95" i="4"/>
  <c r="L266" i="5"/>
  <c r="J95" i="4"/>
  <c r="N266" i="5"/>
  <c r="O266" i="5"/>
  <c r="L95" i="4"/>
  <c r="Q266" i="5"/>
  <c r="M95" i="4"/>
  <c r="R266" i="5"/>
  <c r="N95" i="4"/>
  <c r="T266" i="5"/>
  <c r="O95" i="4"/>
  <c r="U266" i="5"/>
  <c r="P95" i="4"/>
  <c r="W266" i="5"/>
  <c r="Q95" i="4"/>
  <c r="X266" i="5"/>
  <c r="S95" i="4"/>
  <c r="AA266" i="5"/>
  <c r="AI95" i="4"/>
  <c r="T95" i="4" a="1"/>
  <c r="T95" i="4"/>
  <c r="AC266" i="5"/>
  <c r="U95" i="4" a="1"/>
  <c r="U95" i="4"/>
  <c r="AD266" i="5"/>
  <c r="X95" i="4"/>
  <c r="AI266" i="5"/>
  <c r="Y95" i="4"/>
  <c r="AJ266" i="5"/>
  <c r="Z95" i="4"/>
  <c r="AL266" i="5"/>
  <c r="F266" i="5"/>
  <c r="H266" i="5"/>
  <c r="I266" i="5"/>
  <c r="Z266" i="5"/>
  <c r="AN266" i="5"/>
  <c r="AG267" i="5"/>
  <c r="AF267" i="5"/>
  <c r="B21" i="4"/>
  <c r="C21" i="4"/>
  <c r="C267" i="5"/>
  <c r="D21" i="4"/>
  <c r="E267" i="5"/>
  <c r="K267" i="5"/>
  <c r="I21" i="4"/>
  <c r="L267" i="5"/>
  <c r="J21" i="4"/>
  <c r="N267" i="5"/>
  <c r="O267" i="5"/>
  <c r="L21" i="4"/>
  <c r="Q267" i="5"/>
  <c r="M21" i="4"/>
  <c r="R267" i="5"/>
  <c r="N21" i="4"/>
  <c r="T267" i="5"/>
  <c r="U267" i="5"/>
  <c r="P21" i="4"/>
  <c r="W267" i="5"/>
  <c r="Q21" i="4"/>
  <c r="X267" i="5"/>
  <c r="S21" i="4"/>
  <c r="AA267" i="5"/>
  <c r="AI21" i="4"/>
  <c r="T21" i="4" a="1"/>
  <c r="T21" i="4"/>
  <c r="AC267" i="5"/>
  <c r="U21" i="4" a="1"/>
  <c r="U21" i="4"/>
  <c r="AD267" i="5"/>
  <c r="X21" i="4"/>
  <c r="AI267" i="5"/>
  <c r="Y21" i="4"/>
  <c r="AJ267" i="5"/>
  <c r="Z21" i="4"/>
  <c r="AL267" i="5"/>
  <c r="F267" i="5"/>
  <c r="H267" i="5"/>
  <c r="I267" i="5"/>
  <c r="Z267" i="5"/>
  <c r="AN267" i="5"/>
  <c r="AG268" i="5"/>
  <c r="AF268" i="5"/>
  <c r="B22" i="4"/>
  <c r="C22" i="4"/>
  <c r="C268" i="5"/>
  <c r="D22" i="4"/>
  <c r="E268" i="5"/>
  <c r="K268" i="5"/>
  <c r="L22" i="4"/>
  <c r="Q268" i="5"/>
  <c r="M22" i="4"/>
  <c r="R268" i="5"/>
  <c r="N22" i="4"/>
  <c r="T268" i="5"/>
  <c r="U268" i="5"/>
  <c r="P22" i="4"/>
  <c r="W268" i="5"/>
  <c r="Q22" i="4"/>
  <c r="X268" i="5"/>
  <c r="S22" i="4"/>
  <c r="AA268" i="5"/>
  <c r="AI22" i="4"/>
  <c r="T22" i="4" a="1"/>
  <c r="T22" i="4"/>
  <c r="AC268" i="5"/>
  <c r="U22" i="4" a="1"/>
  <c r="U22" i="4"/>
  <c r="AD268" i="5"/>
  <c r="X22" i="4"/>
  <c r="AI268" i="5"/>
  <c r="Y22" i="4"/>
  <c r="AJ268" i="5"/>
  <c r="Z22" i="4"/>
  <c r="AL268" i="5"/>
  <c r="F268" i="5"/>
  <c r="L268" i="5"/>
  <c r="N268" i="5"/>
  <c r="O268" i="5"/>
  <c r="H268" i="5"/>
  <c r="I268" i="5"/>
  <c r="Z268" i="5"/>
  <c r="AN268" i="5"/>
  <c r="AG269" i="5"/>
  <c r="AF269" i="5"/>
  <c r="B142" i="4"/>
  <c r="C142" i="4"/>
  <c r="C269" i="5"/>
  <c r="D142" i="4"/>
  <c r="E269" i="5"/>
  <c r="E142" i="4"/>
  <c r="F269" i="5"/>
  <c r="F142" i="4"/>
  <c r="H269" i="5"/>
  <c r="I269" i="5"/>
  <c r="H142" i="4"/>
  <c r="K269" i="5"/>
  <c r="L142" i="4"/>
  <c r="Q269" i="5"/>
  <c r="M142" i="4"/>
  <c r="R269" i="5"/>
  <c r="N142" i="4"/>
  <c r="T269" i="5"/>
  <c r="O142" i="4"/>
  <c r="U269" i="5"/>
  <c r="P142" i="4"/>
  <c r="W269" i="5"/>
  <c r="Q142" i="4"/>
  <c r="X269" i="5"/>
  <c r="S142" i="4"/>
  <c r="AA269" i="5"/>
  <c r="AI142" i="4"/>
  <c r="T142" i="4" a="1"/>
  <c r="T142" i="4"/>
  <c r="AC269" i="5"/>
  <c r="U142" i="4" a="1"/>
  <c r="U142" i="4"/>
  <c r="AD269" i="5"/>
  <c r="X142" i="4"/>
  <c r="AI269" i="5"/>
  <c r="Y142" i="4"/>
  <c r="AJ269" i="5"/>
  <c r="Z142" i="4"/>
  <c r="AL269" i="5"/>
  <c r="L269" i="5"/>
  <c r="N269" i="5"/>
  <c r="O269" i="5"/>
  <c r="Z269" i="5"/>
  <c r="AN269" i="5"/>
  <c r="O270" i="5"/>
  <c r="H301" i="4"/>
  <c r="K270" i="5"/>
  <c r="AG270" i="5"/>
  <c r="AF270" i="5"/>
  <c r="C301" i="4"/>
  <c r="C270" i="5"/>
  <c r="D301" i="4"/>
  <c r="E270" i="5"/>
  <c r="I301" i="4"/>
  <c r="L270" i="5"/>
  <c r="J301" i="4"/>
  <c r="N270" i="5"/>
  <c r="L301" i="4"/>
  <c r="Q270" i="5"/>
  <c r="M301" i="4"/>
  <c r="R270" i="5"/>
  <c r="T270" i="5"/>
  <c r="O301" i="4"/>
  <c r="U270" i="5"/>
  <c r="P301" i="4"/>
  <c r="W270" i="5"/>
  <c r="Q301" i="4"/>
  <c r="X270" i="5"/>
  <c r="S301" i="4"/>
  <c r="AA270" i="5"/>
  <c r="AI301" i="4"/>
  <c r="T301" i="4" a="1"/>
  <c r="T301" i="4"/>
  <c r="AC270" i="5"/>
  <c r="U301" i="4" a="1"/>
  <c r="U301" i="4"/>
  <c r="AD270" i="5"/>
  <c r="X301" i="4"/>
  <c r="AI270" i="5"/>
  <c r="Y301" i="4"/>
  <c r="AJ270" i="5"/>
  <c r="Z301" i="4"/>
  <c r="AL270" i="5"/>
  <c r="F270" i="5"/>
  <c r="H270" i="5"/>
  <c r="I270" i="5"/>
  <c r="Z270" i="5"/>
  <c r="AN270" i="5"/>
  <c r="B12" i="4"/>
  <c r="S12" i="4"/>
  <c r="AA271" i="5"/>
  <c r="P12" i="4"/>
  <c r="W271" i="5"/>
  <c r="AG271" i="5"/>
  <c r="AF271" i="5"/>
  <c r="C12" i="4"/>
  <c r="C271" i="5"/>
  <c r="D12" i="4"/>
  <c r="E271" i="5"/>
  <c r="E12" i="4"/>
  <c r="F271" i="5"/>
  <c r="F12" i="4"/>
  <c r="H271" i="5"/>
  <c r="I271" i="5"/>
  <c r="K271" i="5"/>
  <c r="L12" i="4"/>
  <c r="Q271" i="5"/>
  <c r="M12" i="4"/>
  <c r="R271" i="5"/>
  <c r="T271" i="5"/>
  <c r="U271" i="5"/>
  <c r="Q12" i="4"/>
  <c r="X271" i="5"/>
  <c r="R12" i="4"/>
  <c r="Z271" i="5"/>
  <c r="AI12" i="4"/>
  <c r="T12" i="4" a="1"/>
  <c r="T12" i="4"/>
  <c r="AC271" i="5"/>
  <c r="U12" i="4" a="1"/>
  <c r="U12" i="4"/>
  <c r="AD271" i="5"/>
  <c r="X12" i="4"/>
  <c r="AI271" i="5"/>
  <c r="Y12" i="4"/>
  <c r="AJ271" i="5"/>
  <c r="Z12" i="4"/>
  <c r="AL271" i="5"/>
  <c r="L271" i="5"/>
  <c r="N271" i="5"/>
  <c r="O271" i="5"/>
  <c r="AN271" i="5"/>
  <c r="B303" i="4"/>
  <c r="S303" i="4"/>
  <c r="AA272" i="5"/>
  <c r="P303" i="4"/>
  <c r="W272" i="5"/>
  <c r="AG272" i="5"/>
  <c r="AF272" i="5"/>
  <c r="C303" i="4"/>
  <c r="C272" i="5"/>
  <c r="D303" i="4"/>
  <c r="E272" i="5"/>
  <c r="E303" i="4"/>
  <c r="F272" i="5"/>
  <c r="F303" i="4"/>
  <c r="H272" i="5"/>
  <c r="I272" i="5"/>
  <c r="K272" i="5"/>
  <c r="L303" i="4"/>
  <c r="Q272" i="5"/>
  <c r="O303" i="4"/>
  <c r="U272" i="5"/>
  <c r="Q303" i="4"/>
  <c r="X272" i="5"/>
  <c r="R303" i="4"/>
  <c r="Z272" i="5"/>
  <c r="AI303" i="4"/>
  <c r="T303" i="4" a="1"/>
  <c r="T303" i="4"/>
  <c r="AC272" i="5"/>
  <c r="U303" i="4" a="1"/>
  <c r="U303" i="4"/>
  <c r="AD272" i="5"/>
  <c r="X303" i="4"/>
  <c r="AI272" i="5"/>
  <c r="Y303" i="4"/>
  <c r="AJ272" i="5"/>
  <c r="Z303" i="4"/>
  <c r="AL272" i="5"/>
  <c r="L272" i="5"/>
  <c r="N272" i="5"/>
  <c r="O272" i="5"/>
  <c r="R272" i="5"/>
  <c r="AN272" i="5"/>
  <c r="O273" i="5"/>
  <c r="H266" i="4"/>
  <c r="K273" i="5"/>
  <c r="AG273" i="5"/>
  <c r="AF273" i="5"/>
  <c r="C266" i="4"/>
  <c r="C273" i="5"/>
  <c r="D266" i="4"/>
  <c r="E273" i="5"/>
  <c r="E266" i="4"/>
  <c r="F273" i="5"/>
  <c r="F266" i="4"/>
  <c r="H273" i="5"/>
  <c r="I273" i="5"/>
  <c r="I266" i="4"/>
  <c r="L273" i="5"/>
  <c r="J266" i="4"/>
  <c r="N273" i="5"/>
  <c r="L266" i="4"/>
  <c r="Q273" i="5"/>
  <c r="M266" i="4"/>
  <c r="R273" i="5"/>
  <c r="N266" i="4"/>
  <c r="T273" i="5"/>
  <c r="O266" i="4"/>
  <c r="U273" i="5"/>
  <c r="P266" i="4"/>
  <c r="W273" i="5"/>
  <c r="Q266" i="4"/>
  <c r="X273" i="5"/>
  <c r="S266" i="4"/>
  <c r="AA273" i="5"/>
  <c r="AI266" i="4"/>
  <c r="T266" i="4" a="1"/>
  <c r="T266" i="4"/>
  <c r="AC273" i="5"/>
  <c r="U266" i="4" a="1"/>
  <c r="U266" i="4"/>
  <c r="AD273" i="5"/>
  <c r="X266" i="4"/>
  <c r="AI273" i="5"/>
  <c r="Y266" i="4"/>
  <c r="AJ273" i="5"/>
  <c r="Z266" i="4"/>
  <c r="AL273" i="5"/>
  <c r="Z273" i="5"/>
  <c r="AN273" i="5"/>
  <c r="O274" i="5"/>
  <c r="B267" i="4"/>
  <c r="H267" i="4"/>
  <c r="K274" i="5"/>
  <c r="AG274" i="5"/>
  <c r="AF274" i="5"/>
  <c r="C267" i="4"/>
  <c r="C274" i="5"/>
  <c r="D267" i="4"/>
  <c r="E274" i="5"/>
  <c r="E267" i="4"/>
  <c r="F274" i="5"/>
  <c r="F267" i="4"/>
  <c r="H274" i="5"/>
  <c r="I274" i="5"/>
  <c r="I267" i="4"/>
  <c r="L274" i="5"/>
  <c r="J267" i="4"/>
  <c r="N274" i="5"/>
  <c r="L267" i="4"/>
  <c r="Q274" i="5"/>
  <c r="M267" i="4"/>
  <c r="R274" i="5"/>
  <c r="T274" i="5"/>
  <c r="O267" i="4"/>
  <c r="U274" i="5"/>
  <c r="W274" i="5"/>
  <c r="Q267" i="4"/>
  <c r="X274" i="5"/>
  <c r="AA274" i="5"/>
  <c r="AI267" i="4"/>
  <c r="T267" i="4" a="1"/>
  <c r="T267" i="4"/>
  <c r="AC274" i="5"/>
  <c r="U267" i="4" a="1"/>
  <c r="U267" i="4"/>
  <c r="AD274" i="5"/>
  <c r="X267" i="4"/>
  <c r="AI274" i="5"/>
  <c r="Y267" i="4"/>
  <c r="AJ274" i="5"/>
  <c r="Z267" i="4"/>
  <c r="AL274" i="5"/>
  <c r="Z274" i="5"/>
  <c r="AN274" i="5"/>
  <c r="AG275" i="5"/>
  <c r="AF275" i="5"/>
  <c r="B275" i="4"/>
  <c r="C275" i="4"/>
  <c r="C275" i="5"/>
  <c r="D275" i="4"/>
  <c r="E275" i="5"/>
  <c r="H275" i="4"/>
  <c r="K275" i="5"/>
  <c r="L275" i="4"/>
  <c r="Q275" i="5"/>
  <c r="M275" i="4"/>
  <c r="R275" i="5"/>
  <c r="T275" i="5"/>
  <c r="O275" i="4"/>
  <c r="U275" i="5"/>
  <c r="P275" i="4"/>
  <c r="W275" i="5"/>
  <c r="Q275" i="4"/>
  <c r="X275" i="5"/>
  <c r="S275" i="4"/>
  <c r="AA275" i="5"/>
  <c r="AI275" i="4"/>
  <c r="T275" i="4" a="1"/>
  <c r="T275" i="4"/>
  <c r="AC275" i="5"/>
  <c r="U275" i="4" a="1"/>
  <c r="U275" i="4"/>
  <c r="AD275" i="5"/>
  <c r="X275" i="4"/>
  <c r="AI275" i="5"/>
  <c r="Y275" i="4"/>
  <c r="AJ275" i="5"/>
  <c r="Z275" i="4"/>
  <c r="AL275" i="5"/>
  <c r="F275" i="5"/>
  <c r="L275" i="5"/>
  <c r="N275" i="5"/>
  <c r="O275" i="5"/>
  <c r="H275" i="5"/>
  <c r="I275" i="5"/>
  <c r="Z275" i="5"/>
  <c r="AN275" i="5"/>
  <c r="O276" i="5"/>
  <c r="K276" i="5"/>
  <c r="AG276" i="5"/>
  <c r="AF276" i="5"/>
  <c r="C13" i="4"/>
  <c r="C276" i="5"/>
  <c r="D13" i="4"/>
  <c r="E276" i="5"/>
  <c r="L276" i="5"/>
  <c r="N276" i="5"/>
  <c r="L13" i="4"/>
  <c r="Q276" i="5"/>
  <c r="M13" i="4"/>
  <c r="R276" i="5"/>
  <c r="N13" i="4"/>
  <c r="T276" i="5"/>
  <c r="U276" i="5"/>
  <c r="P13" i="4"/>
  <c r="W276" i="5"/>
  <c r="X276" i="5"/>
  <c r="AA276" i="5"/>
  <c r="AI13" i="4"/>
  <c r="T13" i="4" a="1"/>
  <c r="T13" i="4"/>
  <c r="AC276" i="5"/>
  <c r="U13" i="4" a="1"/>
  <c r="U13" i="4"/>
  <c r="AD276" i="5"/>
  <c r="X13" i="4"/>
  <c r="AI276" i="5"/>
  <c r="Y13" i="4"/>
  <c r="AJ276" i="5"/>
  <c r="Z13" i="4"/>
  <c r="AL276" i="5"/>
  <c r="F276" i="5"/>
  <c r="H276" i="5"/>
  <c r="I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I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276" i="4"/>
  <c r="H276" i="4"/>
  <c r="K278" i="5"/>
  <c r="AG278" i="5"/>
  <c r="AF278" i="5"/>
  <c r="C276" i="4"/>
  <c r="C278" i="5"/>
  <c r="D276" i="4"/>
  <c r="E278" i="5"/>
  <c r="E276" i="4"/>
  <c r="F278" i="5"/>
  <c r="F276" i="4"/>
  <c r="H278" i="5"/>
  <c r="I278" i="5"/>
  <c r="I276" i="4"/>
  <c r="L278" i="5"/>
  <c r="J276" i="4"/>
  <c r="N278" i="5"/>
  <c r="L276" i="4"/>
  <c r="Q278" i="5"/>
  <c r="M276" i="4"/>
  <c r="R278" i="5"/>
  <c r="N276" i="4"/>
  <c r="T278" i="5"/>
  <c r="O276" i="4"/>
  <c r="U278" i="5"/>
  <c r="P276" i="4"/>
  <c r="W278" i="5"/>
  <c r="Q276" i="4"/>
  <c r="X278" i="5"/>
  <c r="AA278" i="5"/>
  <c r="AI276" i="4"/>
  <c r="T276" i="4" a="1"/>
  <c r="T276" i="4"/>
  <c r="AC278" i="5"/>
  <c r="U276" i="4" a="1"/>
  <c r="U276" i="4"/>
  <c r="AD278" i="5"/>
  <c r="X276" i="4"/>
  <c r="AI278" i="5"/>
  <c r="Y276" i="4"/>
  <c r="AJ278" i="5"/>
  <c r="Z276" i="4"/>
  <c r="AL278" i="5"/>
  <c r="Z278" i="5"/>
  <c r="AN278" i="5"/>
  <c r="AG279" i="5"/>
  <c r="AF279" i="5"/>
  <c r="C165" i="4"/>
  <c r="C279" i="5"/>
  <c r="D165" i="4"/>
  <c r="E279" i="5"/>
  <c r="H165" i="4"/>
  <c r="K279" i="5"/>
  <c r="L165" i="4"/>
  <c r="Q279" i="5"/>
  <c r="M165" i="4"/>
  <c r="R279" i="5"/>
  <c r="N165" i="4"/>
  <c r="T279" i="5"/>
  <c r="U279" i="5"/>
  <c r="P165" i="4"/>
  <c r="W279" i="5"/>
  <c r="Q165" i="4"/>
  <c r="X279" i="5"/>
  <c r="AA279" i="5"/>
  <c r="AI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259" i="4"/>
  <c r="C280" i="5"/>
  <c r="D259" i="4"/>
  <c r="E280" i="5"/>
  <c r="I259" i="4"/>
  <c r="L280" i="5"/>
  <c r="J259" i="4"/>
  <c r="N280" i="5"/>
  <c r="L259" i="4"/>
  <c r="Q280" i="5"/>
  <c r="M259" i="4"/>
  <c r="R280" i="5"/>
  <c r="N259" i="4"/>
  <c r="T280" i="5"/>
  <c r="O259" i="4"/>
  <c r="U280" i="5"/>
  <c r="P259" i="4"/>
  <c r="W280" i="5"/>
  <c r="Q259" i="4"/>
  <c r="X280" i="5"/>
  <c r="S259" i="4"/>
  <c r="AA280" i="5"/>
  <c r="AI259" i="4"/>
  <c r="T259" i="4" a="1"/>
  <c r="T259" i="4"/>
  <c r="AC280" i="5"/>
  <c r="U259" i="4" a="1"/>
  <c r="U259" i="4"/>
  <c r="AD280" i="5"/>
  <c r="AI280" i="5"/>
  <c r="Y259" i="4"/>
  <c r="AJ280" i="5"/>
  <c r="Z259" i="4"/>
  <c r="AL280" i="5"/>
  <c r="F280" i="5"/>
  <c r="H280" i="5"/>
  <c r="I280" i="5"/>
  <c r="Z280" i="5"/>
  <c r="AN280" i="5"/>
  <c r="AG281" i="5"/>
  <c r="AF281" i="5"/>
  <c r="B167" i="4"/>
  <c r="C167" i="4"/>
  <c r="C281" i="5"/>
  <c r="D167" i="4"/>
  <c r="E281" i="5"/>
  <c r="H167" i="4"/>
  <c r="K281" i="5"/>
  <c r="L167" i="4"/>
  <c r="Q281" i="5"/>
  <c r="M167" i="4"/>
  <c r="R281" i="5"/>
  <c r="T281" i="5"/>
  <c r="O167" i="4"/>
  <c r="U281" i="5"/>
  <c r="P167" i="4"/>
  <c r="W281" i="5"/>
  <c r="Q167" i="4"/>
  <c r="X281" i="5"/>
  <c r="S167" i="4"/>
  <c r="AA281" i="5"/>
  <c r="AI167" i="4"/>
  <c r="T167" i="4" a="1"/>
  <c r="T167" i="4"/>
  <c r="AC281" i="5"/>
  <c r="U167" i="4" a="1"/>
  <c r="U167" i="4"/>
  <c r="AD281" i="5"/>
  <c r="X167" i="4"/>
  <c r="AI281" i="5"/>
  <c r="Y167" i="4"/>
  <c r="AJ281" i="5"/>
  <c r="Z167" i="4"/>
  <c r="AL281" i="5"/>
  <c r="F281" i="5"/>
  <c r="H281" i="5"/>
  <c r="I281" i="5"/>
  <c r="L281" i="5"/>
  <c r="N281" i="5"/>
  <c r="O281" i="5"/>
  <c r="Z281" i="5"/>
  <c r="AN281" i="5"/>
  <c r="AG282" i="5"/>
  <c r="AF282" i="5"/>
  <c r="C188" i="4"/>
  <c r="C282" i="5"/>
  <c r="T282" i="5"/>
  <c r="O188" i="4"/>
  <c r="U282" i="5"/>
  <c r="P188" i="4"/>
  <c r="W282" i="5"/>
  <c r="Q188" i="4"/>
  <c r="X282" i="5"/>
  <c r="AA282" i="5"/>
  <c r="AI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F282" i="5"/>
  <c r="H282" i="5"/>
  <c r="I282" i="5"/>
  <c r="L282" i="5"/>
  <c r="N282" i="5"/>
  <c r="O282" i="5"/>
  <c r="Z282" i="5"/>
  <c r="AN282" i="5"/>
  <c r="AG283" i="5"/>
  <c r="AF283" i="5"/>
  <c r="C189" i="4"/>
  <c r="C283" i="5"/>
  <c r="D189" i="4"/>
  <c r="E283" i="5"/>
  <c r="H189" i="4"/>
  <c r="K283" i="5"/>
  <c r="L189" i="4"/>
  <c r="Q283" i="5"/>
  <c r="M189" i="4"/>
  <c r="R283" i="5"/>
  <c r="T283" i="5"/>
  <c r="O189" i="4"/>
  <c r="U283" i="5"/>
  <c r="P189" i="4"/>
  <c r="W283" i="5"/>
  <c r="Q189" i="4"/>
  <c r="X283" i="5"/>
  <c r="S189" i="4"/>
  <c r="AA283" i="5"/>
  <c r="AI189" i="4"/>
  <c r="T189" i="4" a="1"/>
  <c r="T189" i="4"/>
  <c r="AC283" i="5"/>
  <c r="U189" i="4" a="1"/>
  <c r="U189" i="4"/>
  <c r="AD283" i="5"/>
  <c r="X189" i="4"/>
  <c r="AI283" i="5"/>
  <c r="Y189" i="4"/>
  <c r="AJ283" i="5"/>
  <c r="Z189" i="4"/>
  <c r="AL283" i="5"/>
  <c r="F283" i="5"/>
  <c r="H283" i="5"/>
  <c r="I283" i="5"/>
  <c r="L283" i="5"/>
  <c r="N283" i="5"/>
  <c r="O283" i="5"/>
  <c r="Z283" i="5"/>
  <c r="AN283" i="5"/>
  <c r="AG284" i="5"/>
  <c r="AF284" i="5"/>
  <c r="C190" i="4"/>
  <c r="C284" i="5"/>
  <c r="D190" i="4"/>
  <c r="E284" i="5"/>
  <c r="H190" i="4"/>
  <c r="K284" i="5"/>
  <c r="L190" i="4"/>
  <c r="Q284" i="5"/>
  <c r="M190" i="4"/>
  <c r="R284" i="5"/>
  <c r="T284" i="5"/>
  <c r="O190" i="4"/>
  <c r="U284" i="5"/>
  <c r="P190" i="4"/>
  <c r="W284" i="5"/>
  <c r="Q190" i="4"/>
  <c r="X284" i="5"/>
  <c r="S190" i="4"/>
  <c r="AA284" i="5"/>
  <c r="AI190" i="4"/>
  <c r="T190" i="4" a="1"/>
  <c r="T190" i="4"/>
  <c r="AC284" i="5"/>
  <c r="U190" i="4" a="1"/>
  <c r="U190" i="4"/>
  <c r="AD284" i="5"/>
  <c r="X190" i="4"/>
  <c r="AI284" i="5"/>
  <c r="Y190" i="4"/>
  <c r="AJ284" i="5"/>
  <c r="Z190" i="4"/>
  <c r="AL284" i="5"/>
  <c r="F284" i="5"/>
  <c r="H284" i="5"/>
  <c r="I284" i="5"/>
  <c r="L284" i="5"/>
  <c r="N284" i="5"/>
  <c r="O284" i="5"/>
  <c r="Z284" i="5"/>
  <c r="AN284" i="5"/>
  <c r="AG285" i="5"/>
  <c r="AF285" i="5"/>
  <c r="C63" i="4"/>
  <c r="C285" i="5"/>
  <c r="D63" i="4"/>
  <c r="E285" i="5"/>
  <c r="K285" i="5"/>
  <c r="L63" i="4"/>
  <c r="Q285" i="5"/>
  <c r="M63" i="4"/>
  <c r="R285" i="5"/>
  <c r="N63" i="4"/>
  <c r="T285" i="5"/>
  <c r="U285" i="5"/>
  <c r="P63" i="4"/>
  <c r="W285" i="5"/>
  <c r="Q63" i="4"/>
  <c r="X285" i="5"/>
  <c r="S63" i="4"/>
  <c r="AA285" i="5"/>
  <c r="AI63" i="4"/>
  <c r="T63" i="4" a="1"/>
  <c r="T63" i="4"/>
  <c r="AC285" i="5"/>
  <c r="U63" i="4" a="1"/>
  <c r="U63" i="4"/>
  <c r="AD285" i="5"/>
  <c r="X63" i="4"/>
  <c r="AI285" i="5"/>
  <c r="Y63" i="4"/>
  <c r="AJ285" i="5"/>
  <c r="Z63" i="4"/>
  <c r="AL285" i="5"/>
  <c r="F285" i="5"/>
  <c r="H285" i="5"/>
  <c r="I285" i="5"/>
  <c r="L285" i="5"/>
  <c r="N285" i="5"/>
  <c r="O285" i="5"/>
  <c r="Z285" i="5"/>
  <c r="AN285" i="5"/>
  <c r="AG286" i="5"/>
  <c r="AF286" i="5"/>
  <c r="C64" i="4"/>
  <c r="C286" i="5"/>
  <c r="D64" i="4"/>
  <c r="E286" i="5"/>
  <c r="K286" i="5"/>
  <c r="L64" i="4"/>
  <c r="Q286" i="5"/>
  <c r="M64" i="4"/>
  <c r="R286" i="5"/>
  <c r="N64" i="4"/>
  <c r="T286" i="5"/>
  <c r="U286" i="5"/>
  <c r="P64" i="4"/>
  <c r="W286" i="5"/>
  <c r="Q64" i="4"/>
  <c r="X286" i="5"/>
  <c r="S64" i="4"/>
  <c r="AA286" i="5"/>
  <c r="AI64" i="4"/>
  <c r="T64" i="4" a="1"/>
  <c r="T64" i="4"/>
  <c r="AC286" i="5"/>
  <c r="U64" i="4" a="1"/>
  <c r="U64" i="4"/>
  <c r="AD286" i="5"/>
  <c r="X64" i="4"/>
  <c r="AI286" i="5"/>
  <c r="Y64" i="4"/>
  <c r="AJ286" i="5"/>
  <c r="Z64" i="4"/>
  <c r="AL286" i="5"/>
  <c r="F286" i="5"/>
  <c r="H286" i="5"/>
  <c r="I286" i="5"/>
  <c r="L286" i="5"/>
  <c r="N286" i="5"/>
  <c r="O286" i="5"/>
  <c r="Z286" i="5"/>
  <c r="AN286" i="5"/>
  <c r="AG287" i="5"/>
  <c r="AF287" i="5"/>
  <c r="B192" i="4"/>
  <c r="C192" i="4"/>
  <c r="C287" i="5"/>
  <c r="D192" i="4"/>
  <c r="E287" i="5"/>
  <c r="H192" i="4"/>
  <c r="K287" i="5"/>
  <c r="L192" i="4"/>
  <c r="Q287" i="5"/>
  <c r="M192" i="4"/>
  <c r="R287" i="5"/>
  <c r="T287" i="5"/>
  <c r="O192" i="4"/>
  <c r="U287" i="5"/>
  <c r="P192" i="4"/>
  <c r="W287" i="5"/>
  <c r="Q192" i="4"/>
  <c r="X287" i="5"/>
  <c r="S192" i="4"/>
  <c r="AA287" i="5"/>
  <c r="AI192" i="4"/>
  <c r="T192" i="4" a="1"/>
  <c r="T192" i="4"/>
  <c r="AC287" i="5"/>
  <c r="U192" i="4" a="1"/>
  <c r="U192" i="4"/>
  <c r="AD287" i="5"/>
  <c r="X192" i="4"/>
  <c r="AI287" i="5"/>
  <c r="Y192" i="4"/>
  <c r="AJ287" i="5"/>
  <c r="Z192" i="4"/>
  <c r="AL287" i="5"/>
  <c r="F287" i="5"/>
  <c r="H287" i="5"/>
  <c r="I287" i="5"/>
  <c r="L287" i="5"/>
  <c r="N287" i="5"/>
  <c r="O287" i="5"/>
  <c r="Z287" i="5"/>
  <c r="AN287" i="5"/>
  <c r="AG288" i="5"/>
  <c r="AF288" i="5"/>
  <c r="B193" i="4"/>
  <c r="C193" i="4"/>
  <c r="C288" i="5"/>
  <c r="D193" i="4"/>
  <c r="E288" i="5"/>
  <c r="H193" i="4"/>
  <c r="K288" i="5"/>
  <c r="L193" i="4"/>
  <c r="Q288" i="5"/>
  <c r="M193" i="4"/>
  <c r="R288" i="5"/>
  <c r="T288" i="5"/>
  <c r="O193" i="4"/>
  <c r="U288" i="5"/>
  <c r="P193" i="4"/>
  <c r="W288" i="5"/>
  <c r="Q193" i="4"/>
  <c r="X288" i="5"/>
  <c r="S193" i="4"/>
  <c r="AA288" i="5"/>
  <c r="AI193" i="4"/>
  <c r="T193" i="4" a="1"/>
  <c r="T193" i="4"/>
  <c r="AC288" i="5"/>
  <c r="U193" i="4" a="1"/>
  <c r="U193" i="4"/>
  <c r="AD288" i="5"/>
  <c r="X193" i="4"/>
  <c r="AI288" i="5"/>
  <c r="Y193" i="4"/>
  <c r="AJ288" i="5"/>
  <c r="Z193" i="4"/>
  <c r="AL288" i="5"/>
  <c r="F288" i="5"/>
  <c r="H288" i="5"/>
  <c r="I288" i="5"/>
  <c r="L288" i="5"/>
  <c r="N288" i="5"/>
  <c r="O288" i="5"/>
  <c r="Z288" i="5"/>
  <c r="AN288" i="5"/>
  <c r="AG289" i="5"/>
  <c r="AF289" i="5"/>
  <c r="C195" i="4"/>
  <c r="C289" i="5"/>
  <c r="T289" i="5"/>
  <c r="O195" i="4"/>
  <c r="U289" i="5"/>
  <c r="P195" i="4"/>
  <c r="W289" i="5"/>
  <c r="Q195" i="4"/>
  <c r="X289" i="5"/>
  <c r="S195" i="4"/>
  <c r="AA289" i="5"/>
  <c r="AI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Z289" i="5"/>
  <c r="AN289" i="5"/>
  <c r="AG290" i="5"/>
  <c r="AF290" i="5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I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F290" i="5"/>
  <c r="H290" i="5"/>
  <c r="I290" i="5"/>
  <c r="L290" i="5"/>
  <c r="N290" i="5"/>
  <c r="O290" i="5"/>
  <c r="Z290" i="5"/>
  <c r="AN290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T291" i="5"/>
  <c r="O197" i="4"/>
  <c r="U291" i="5"/>
  <c r="P197" i="4"/>
  <c r="W291" i="5"/>
  <c r="Q197" i="4"/>
  <c r="X291" i="5"/>
  <c r="S197" i="4"/>
  <c r="AA291" i="5"/>
  <c r="AI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F291" i="5"/>
  <c r="H291" i="5"/>
  <c r="I291" i="5"/>
  <c r="L291" i="5"/>
  <c r="N291" i="5"/>
  <c r="O291" i="5"/>
  <c r="Z291" i="5"/>
  <c r="AN291" i="5"/>
  <c r="AG292" i="5"/>
  <c r="AF292" i="5"/>
  <c r="C198" i="4"/>
  <c r="C292" i="5"/>
  <c r="D198" i="4"/>
  <c r="E292" i="5"/>
  <c r="H198" i="4"/>
  <c r="K292" i="5"/>
  <c r="L198" i="4"/>
  <c r="Q292" i="5"/>
  <c r="M198" i="4"/>
  <c r="R292" i="5"/>
  <c r="T292" i="5"/>
  <c r="O198" i="4"/>
  <c r="U292" i="5"/>
  <c r="P198" i="4"/>
  <c r="W292" i="5"/>
  <c r="Q198" i="4"/>
  <c r="X292" i="5"/>
  <c r="S198" i="4"/>
  <c r="AA292" i="5"/>
  <c r="AI198" i="4"/>
  <c r="T198" i="4" a="1"/>
  <c r="T198" i="4"/>
  <c r="AC292" i="5"/>
  <c r="U198" i="4" a="1"/>
  <c r="U198" i="4"/>
  <c r="AD292" i="5"/>
  <c r="X198" i="4"/>
  <c r="AI292" i="5"/>
  <c r="Y198" i="4"/>
  <c r="AJ292" i="5"/>
  <c r="Z198" i="4"/>
  <c r="AL292" i="5"/>
  <c r="F292" i="5"/>
  <c r="H292" i="5"/>
  <c r="I292" i="5"/>
  <c r="L292" i="5"/>
  <c r="N292" i="5"/>
  <c r="O292" i="5"/>
  <c r="Z292" i="5"/>
  <c r="AN292" i="5"/>
  <c r="B199" i="4"/>
  <c r="S199" i="4"/>
  <c r="AA293" i="5"/>
  <c r="P199" i="4"/>
  <c r="W293" i="5"/>
  <c r="AG293" i="5"/>
  <c r="AF293" i="5"/>
  <c r="C199" i="4"/>
  <c r="C293" i="5"/>
  <c r="D199" i="4"/>
  <c r="E293" i="5"/>
  <c r="H199" i="4"/>
  <c r="K293" i="5"/>
  <c r="L199" i="4"/>
  <c r="Q293" i="5"/>
  <c r="M199" i="4"/>
  <c r="R293" i="5"/>
  <c r="N199" i="4"/>
  <c r="T293" i="5"/>
  <c r="O199" i="4"/>
  <c r="U293" i="5"/>
  <c r="Q199" i="4"/>
  <c r="X293" i="5"/>
  <c r="R199" i="4"/>
  <c r="Z293" i="5"/>
  <c r="AI199" i="4"/>
  <c r="T199" i="4" a="1"/>
  <c r="T199" i="4"/>
  <c r="AC293" i="5"/>
  <c r="U199" i="4" a="1"/>
  <c r="U199" i="4"/>
  <c r="AD293" i="5"/>
  <c r="X199" i="4"/>
  <c r="AI293" i="5"/>
  <c r="Y199" i="4"/>
  <c r="AJ293" i="5"/>
  <c r="Z199" i="4"/>
  <c r="AL293" i="5"/>
  <c r="F293" i="5"/>
  <c r="H293" i="5"/>
  <c r="I293" i="5"/>
  <c r="L293" i="5"/>
  <c r="N293" i="5"/>
  <c r="O293" i="5"/>
  <c r="AN293" i="5"/>
  <c r="AG294" i="5"/>
  <c r="AF294" i="5"/>
  <c r="B202" i="4"/>
  <c r="C202" i="4"/>
  <c r="C294" i="5"/>
  <c r="D202" i="4"/>
  <c r="E294" i="5"/>
  <c r="H202" i="4"/>
  <c r="K294" i="5"/>
  <c r="L202" i="4"/>
  <c r="Q294" i="5"/>
  <c r="M202" i="4"/>
  <c r="R294" i="5"/>
  <c r="N202" i="4"/>
  <c r="T294" i="5"/>
  <c r="O202" i="4"/>
  <c r="U294" i="5"/>
  <c r="P202" i="4"/>
  <c r="W294" i="5"/>
  <c r="Q202" i="4"/>
  <c r="X294" i="5"/>
  <c r="S202" i="4"/>
  <c r="AA294" i="5"/>
  <c r="AI202" i="4"/>
  <c r="T202" i="4" a="1"/>
  <c r="T202" i="4"/>
  <c r="AC294" i="5"/>
  <c r="U202" i="4" a="1"/>
  <c r="U202" i="4"/>
  <c r="AD294" i="5"/>
  <c r="X202" i="4"/>
  <c r="AI294" i="5"/>
  <c r="Y202" i="4"/>
  <c r="AJ294" i="5"/>
  <c r="Z202" i="4"/>
  <c r="AL294" i="5"/>
  <c r="F294" i="5"/>
  <c r="H294" i="5"/>
  <c r="I294" i="5"/>
  <c r="L294" i="5"/>
  <c r="N294" i="5"/>
  <c r="O294" i="5"/>
  <c r="Z294" i="5"/>
  <c r="AN294" i="5"/>
  <c r="AG295" i="5"/>
  <c r="AF295" i="5"/>
  <c r="C216" i="4"/>
  <c r="C295" i="5"/>
  <c r="T295" i="5"/>
  <c r="U295" i="5"/>
  <c r="P216" i="4"/>
  <c r="W295" i="5"/>
  <c r="Q216" i="4"/>
  <c r="X295" i="5"/>
  <c r="S216" i="4"/>
  <c r="AA295" i="5"/>
  <c r="AI216" i="4"/>
  <c r="T216" i="4" a="1"/>
  <c r="T216" i="4"/>
  <c r="AC295" i="5"/>
  <c r="U216" i="4" a="1"/>
  <c r="U216" i="4"/>
  <c r="AD295" i="5"/>
  <c r="X216" i="4"/>
  <c r="AI295" i="5"/>
  <c r="Y216" i="4"/>
  <c r="AJ295" i="5"/>
  <c r="Z216" i="4"/>
  <c r="AL295" i="5"/>
  <c r="F295" i="5"/>
  <c r="H295" i="5"/>
  <c r="I295" i="5"/>
  <c r="Z295" i="5"/>
  <c r="AN295" i="5"/>
  <c r="AG296" i="5"/>
  <c r="AF296" i="5"/>
  <c r="B273" i="4"/>
  <c r="C273" i="4"/>
  <c r="C296" i="5"/>
  <c r="D273" i="4"/>
  <c r="E296" i="5"/>
  <c r="H273" i="4"/>
  <c r="K296" i="5"/>
  <c r="L273" i="4"/>
  <c r="Q296" i="5"/>
  <c r="M273" i="4"/>
  <c r="R296" i="5"/>
  <c r="T296" i="5"/>
  <c r="O273" i="4"/>
  <c r="U296" i="5"/>
  <c r="P273" i="4"/>
  <c r="W296" i="5"/>
  <c r="Q273" i="4"/>
  <c r="X296" i="5"/>
  <c r="S273" i="4"/>
  <c r="AA296" i="5"/>
  <c r="AI273" i="4"/>
  <c r="T273" i="4" a="1"/>
  <c r="T273" i="4"/>
  <c r="AC296" i="5"/>
  <c r="U273" i="4" a="1"/>
  <c r="U273" i="4"/>
  <c r="AD296" i="5"/>
  <c r="X273" i="4"/>
  <c r="AI296" i="5"/>
  <c r="F296" i="5"/>
  <c r="H296" i="5"/>
  <c r="I296" i="5"/>
  <c r="L296" i="5"/>
  <c r="N296" i="5"/>
  <c r="O296" i="5"/>
  <c r="Z296" i="5"/>
  <c r="AN296" i="5"/>
  <c r="AG297" i="5"/>
  <c r="AF297" i="5"/>
  <c r="B274" i="4"/>
  <c r="C274" i="4"/>
  <c r="C297" i="5"/>
  <c r="D274" i="4"/>
  <c r="E297" i="5"/>
  <c r="H274" i="4"/>
  <c r="K297" i="5"/>
  <c r="L274" i="4"/>
  <c r="Q297" i="5"/>
  <c r="M274" i="4"/>
  <c r="R297" i="5"/>
  <c r="T297" i="5"/>
  <c r="O274" i="4"/>
  <c r="U297" i="5"/>
  <c r="P274" i="4"/>
  <c r="W297" i="5"/>
  <c r="Q274" i="4"/>
  <c r="X297" i="5"/>
  <c r="S274" i="4"/>
  <c r="AA297" i="5"/>
  <c r="AI274" i="4"/>
  <c r="T274" i="4" a="1"/>
  <c r="T274" i="4"/>
  <c r="AC297" i="5"/>
  <c r="U274" i="4" a="1"/>
  <c r="U274" i="4"/>
  <c r="AD297" i="5"/>
  <c r="X274" i="4"/>
  <c r="AI297" i="5"/>
  <c r="F297" i="5"/>
  <c r="H297" i="5"/>
  <c r="I297" i="5"/>
  <c r="L297" i="5"/>
  <c r="N297" i="5"/>
  <c r="O297" i="5"/>
  <c r="Z297" i="5"/>
  <c r="AN297" i="5"/>
  <c r="AG298" i="5"/>
  <c r="AF298" i="5"/>
  <c r="B235" i="4"/>
  <c r="C235" i="4"/>
  <c r="C298" i="5"/>
  <c r="D235" i="4"/>
  <c r="E298" i="5"/>
  <c r="H235" i="4"/>
  <c r="K298" i="5"/>
  <c r="L235" i="4"/>
  <c r="Q298" i="5"/>
  <c r="M235" i="4"/>
  <c r="R298" i="5"/>
  <c r="T298" i="5"/>
  <c r="O235" i="4"/>
  <c r="U298" i="5"/>
  <c r="P235" i="4"/>
  <c r="W298" i="5"/>
  <c r="Q235" i="4"/>
  <c r="X298" i="5"/>
  <c r="S235" i="4"/>
  <c r="AA298" i="5"/>
  <c r="AI235" i="4"/>
  <c r="T235" i="4" a="1"/>
  <c r="T235" i="4"/>
  <c r="AC298" i="5"/>
  <c r="U235" i="4" a="1"/>
  <c r="U235" i="4"/>
  <c r="AD298" i="5"/>
  <c r="X235" i="4"/>
  <c r="AI298" i="5"/>
  <c r="Y235" i="4"/>
  <c r="AJ298" i="5"/>
  <c r="Z235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6" i="4"/>
  <c r="AF304" i="5"/>
  <c r="C306" i="4"/>
  <c r="C304" i="5"/>
  <c r="D306" i="4"/>
  <c r="E304" i="5"/>
  <c r="I306" i="4"/>
  <c r="L304" i="5"/>
  <c r="J306" i="4"/>
  <c r="N304" i="5"/>
  <c r="L306" i="4"/>
  <c r="Q304" i="5"/>
  <c r="M306" i="4"/>
  <c r="R304" i="5"/>
  <c r="N306" i="4"/>
  <c r="T304" i="5"/>
  <c r="O306" i="4"/>
  <c r="U304" i="5"/>
  <c r="P306" i="4"/>
  <c r="W304" i="5"/>
  <c r="Q306" i="4"/>
  <c r="X304" i="5"/>
  <c r="AA304" i="5"/>
  <c r="AC304" i="5"/>
  <c r="AD304" i="5"/>
  <c r="X306" i="4"/>
  <c r="AI304" i="5"/>
  <c r="Y306" i="4"/>
  <c r="AJ304" i="5"/>
  <c r="Z306" i="4"/>
  <c r="AL304" i="5"/>
  <c r="F304" i="5"/>
  <c r="H304" i="5"/>
  <c r="I304" i="5"/>
  <c r="Z304" i="5"/>
  <c r="AN304" i="5"/>
  <c r="AG305" i="5"/>
  <c r="V307" i="4"/>
  <c r="AF305" i="5"/>
  <c r="C307" i="4"/>
  <c r="C305" i="5"/>
  <c r="N307" i="4"/>
  <c r="T305" i="5"/>
  <c r="O307" i="4"/>
  <c r="U305" i="5"/>
  <c r="P307" i="4"/>
  <c r="W305" i="5"/>
  <c r="Q307" i="4"/>
  <c r="X305" i="5"/>
  <c r="AA305" i="5"/>
  <c r="T307" i="4"/>
  <c r="AC305" i="5"/>
  <c r="U307" i="4"/>
  <c r="AD305" i="5"/>
  <c r="X307" i="4"/>
  <c r="AI305" i="5"/>
  <c r="Y307" i="4"/>
  <c r="AJ305" i="5"/>
  <c r="Z307" i="4"/>
  <c r="AL305" i="5"/>
  <c r="F305" i="5"/>
  <c r="H305" i="5"/>
  <c r="I305" i="5"/>
  <c r="Z305" i="5"/>
  <c r="AN305" i="5"/>
  <c r="O306" i="5"/>
  <c r="K306" i="5"/>
  <c r="AG306" i="5"/>
  <c r="V305" i="4"/>
  <c r="AF306" i="5"/>
  <c r="C305" i="4"/>
  <c r="C306" i="5"/>
  <c r="D305" i="4"/>
  <c r="E306" i="5"/>
  <c r="I305" i="4"/>
  <c r="L306" i="5"/>
  <c r="J305" i="4"/>
  <c r="N306" i="5"/>
  <c r="L305" i="4"/>
  <c r="Q306" i="5"/>
  <c r="M305" i="4"/>
  <c r="R306" i="5"/>
  <c r="N305" i="4"/>
  <c r="T306" i="5"/>
  <c r="O305" i="4"/>
  <c r="U306" i="5"/>
  <c r="P305" i="4"/>
  <c r="W306" i="5"/>
  <c r="Q305" i="4"/>
  <c r="X306" i="5"/>
  <c r="AA306" i="5"/>
  <c r="T305" i="4"/>
  <c r="AC306" i="5"/>
  <c r="U305" i="4"/>
  <c r="AD306" i="5"/>
  <c r="X305" i="4"/>
  <c r="AI306" i="5"/>
  <c r="Y305" i="4"/>
  <c r="AJ306" i="5"/>
  <c r="Z305" i="4"/>
  <c r="AL306" i="5"/>
  <c r="F306" i="5"/>
  <c r="H306" i="5"/>
  <c r="I306" i="5"/>
  <c r="Z306" i="5"/>
  <c r="AN306" i="5"/>
  <c r="AG307" i="5"/>
  <c r="V304" i="4"/>
  <c r="AF307" i="5"/>
  <c r="N304" i="4"/>
  <c r="T307" i="5"/>
  <c r="O304" i="4"/>
  <c r="U307" i="5"/>
  <c r="P304" i="4"/>
  <c r="W307" i="5"/>
  <c r="Q304" i="4"/>
  <c r="X307" i="5"/>
  <c r="AA307" i="5"/>
  <c r="X304" i="4"/>
  <c r="AI307" i="5"/>
  <c r="Y304" i="4"/>
  <c r="AJ307" i="5"/>
  <c r="Z304" i="4"/>
  <c r="AL307" i="5"/>
  <c r="F307" i="5"/>
  <c r="H307" i="5"/>
  <c r="I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8" i="4"/>
  <c r="AF309" i="5"/>
  <c r="C308" i="4"/>
  <c r="C309" i="5"/>
  <c r="D308" i="4"/>
  <c r="E309" i="5"/>
  <c r="I308" i="4"/>
  <c r="L309" i="5"/>
  <c r="J308" i="4"/>
  <c r="N309" i="5"/>
  <c r="L308" i="4"/>
  <c r="Q309" i="5"/>
  <c r="M308" i="4"/>
  <c r="R309" i="5"/>
  <c r="N308" i="4"/>
  <c r="T309" i="5"/>
  <c r="O308" i="4"/>
  <c r="U309" i="5"/>
  <c r="P308" i="4"/>
  <c r="W309" i="5"/>
  <c r="Q308" i="4"/>
  <c r="X309" i="5"/>
  <c r="AA309" i="5"/>
  <c r="AC309" i="5"/>
  <c r="AD309" i="5"/>
  <c r="X308" i="4"/>
  <c r="AI309" i="5"/>
  <c r="Y308" i="4"/>
  <c r="AJ309" i="5"/>
  <c r="Z308" i="4"/>
  <c r="AL309" i="5"/>
  <c r="F309" i="5"/>
  <c r="H309" i="5"/>
  <c r="I309" i="5"/>
  <c r="Z309" i="5"/>
  <c r="AN309" i="5"/>
  <c r="O310" i="5"/>
  <c r="K310" i="5"/>
  <c r="AG310" i="5"/>
  <c r="V313" i="4"/>
  <c r="AF310" i="5"/>
  <c r="C313" i="4"/>
  <c r="C310" i="5"/>
  <c r="D313" i="4"/>
  <c r="E310" i="5"/>
  <c r="I313" i="4"/>
  <c r="L310" i="5"/>
  <c r="J313" i="4"/>
  <c r="N310" i="5"/>
  <c r="L313" i="4"/>
  <c r="Q310" i="5"/>
  <c r="M313" i="4"/>
  <c r="R310" i="5"/>
  <c r="N313" i="4"/>
  <c r="T310" i="5"/>
  <c r="O313" i="4"/>
  <c r="U310" i="5"/>
  <c r="P313" i="4"/>
  <c r="W310" i="5"/>
  <c r="Q313" i="4"/>
  <c r="X310" i="5"/>
  <c r="AA310" i="5"/>
  <c r="T313" i="4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V315" i="4"/>
  <c r="AF311" i="5"/>
  <c r="C315" i="4"/>
  <c r="C311" i="5"/>
  <c r="D315" i="4"/>
  <c r="E311" i="5"/>
  <c r="I315" i="4"/>
  <c r="L311" i="5"/>
  <c r="J315" i="4"/>
  <c r="N311" i="5"/>
  <c r="L315" i="4"/>
  <c r="Q311" i="5"/>
  <c r="M315" i="4"/>
  <c r="R311" i="5"/>
  <c r="N315" i="4"/>
  <c r="T311" i="5"/>
  <c r="O315" i="4"/>
  <c r="U311" i="5"/>
  <c r="P315" i="4"/>
  <c r="W311" i="5"/>
  <c r="Q315" i="4"/>
  <c r="X311" i="5"/>
  <c r="AA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16" i="4"/>
  <c r="AF312" i="5"/>
  <c r="C316" i="4"/>
  <c r="C312" i="5"/>
  <c r="D316" i="4"/>
  <c r="E312" i="5"/>
  <c r="I316" i="4"/>
  <c r="L312" i="5"/>
  <c r="J316" i="4"/>
  <c r="N312" i="5"/>
  <c r="L316" i="4"/>
  <c r="Q312" i="5"/>
  <c r="M316" i="4"/>
  <c r="R312" i="5"/>
  <c r="N316" i="4"/>
  <c r="T312" i="5"/>
  <c r="O316" i="4"/>
  <c r="U312" i="5"/>
  <c r="P316" i="4"/>
  <c r="W312" i="5"/>
  <c r="Q316" i="4"/>
  <c r="X312" i="5"/>
  <c r="AA312" i="5"/>
  <c r="T316" i="4"/>
  <c r="AC312" i="5"/>
  <c r="AD312" i="5"/>
  <c r="X316" i="4"/>
  <c r="AI312" i="5"/>
  <c r="Y316" i="4"/>
  <c r="AJ312" i="5"/>
  <c r="Z316" i="4"/>
  <c r="AL312" i="5"/>
  <c r="F312" i="5"/>
  <c r="H312" i="5"/>
  <c r="I312" i="5"/>
  <c r="Z312" i="5"/>
  <c r="AN312" i="5"/>
  <c r="O313" i="5"/>
  <c r="K313" i="5"/>
  <c r="AG313" i="5"/>
  <c r="V317" i="4"/>
  <c r="AF313" i="5"/>
  <c r="C317" i="4"/>
  <c r="C313" i="5"/>
  <c r="D317" i="4"/>
  <c r="E313" i="5"/>
  <c r="I317" i="4"/>
  <c r="L313" i="5"/>
  <c r="J317" i="4"/>
  <c r="N313" i="5"/>
  <c r="L317" i="4"/>
  <c r="Q313" i="5"/>
  <c r="M317" i="4"/>
  <c r="R313" i="5"/>
  <c r="N317" i="4"/>
  <c r="T313" i="5"/>
  <c r="O317" i="4"/>
  <c r="U313" i="5"/>
  <c r="P317" i="4"/>
  <c r="W313" i="5"/>
  <c r="Q317" i="4"/>
  <c r="X313" i="5"/>
  <c r="AA313" i="5"/>
  <c r="X317" i="4"/>
  <c r="AI313" i="5"/>
  <c r="Y317" i="4"/>
  <c r="AJ313" i="5"/>
  <c r="Z317" i="4"/>
  <c r="AL313" i="5"/>
  <c r="F313" i="5"/>
  <c r="H313" i="5"/>
  <c r="I313" i="5"/>
  <c r="Z313" i="5"/>
  <c r="AN313" i="5"/>
  <c r="AG314" i="5"/>
  <c r="V309" i="4"/>
  <c r="AF314" i="5"/>
  <c r="C309" i="4"/>
  <c r="C314" i="5"/>
  <c r="N309" i="4"/>
  <c r="T314" i="5"/>
  <c r="O309" i="4"/>
  <c r="U314" i="5"/>
  <c r="P309" i="4"/>
  <c r="W314" i="5"/>
  <c r="Q309" i="4"/>
  <c r="X314" i="5"/>
  <c r="AA314" i="5"/>
  <c r="AC314" i="5"/>
  <c r="AD314" i="5"/>
  <c r="X309" i="4"/>
  <c r="AI314" i="5"/>
  <c r="Y309" i="4"/>
  <c r="AJ314" i="5"/>
  <c r="Z309" i="4"/>
  <c r="AL314" i="5"/>
  <c r="F314" i="5"/>
  <c r="H314" i="5"/>
  <c r="I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F315" i="5"/>
  <c r="H315" i="5"/>
  <c r="I315" i="5"/>
  <c r="Z315" i="5"/>
  <c r="AN315" i="5"/>
  <c r="O316" i="5"/>
  <c r="K316" i="5"/>
  <c r="AG316" i="5"/>
  <c r="V318" i="4"/>
  <c r="AF316" i="5"/>
  <c r="C318" i="4"/>
  <c r="C316" i="5"/>
  <c r="D318" i="4"/>
  <c r="E316" i="5"/>
  <c r="I318" i="4"/>
  <c r="L316" i="5"/>
  <c r="J318" i="4"/>
  <c r="N316" i="5"/>
  <c r="L318" i="4"/>
  <c r="Q316" i="5"/>
  <c r="M318" i="4"/>
  <c r="R316" i="5"/>
  <c r="N318" i="4"/>
  <c r="T316" i="5"/>
  <c r="O318" i="4"/>
  <c r="U316" i="5"/>
  <c r="P318" i="4"/>
  <c r="W316" i="5"/>
  <c r="Q318" i="4"/>
  <c r="X316" i="5"/>
  <c r="AA316" i="5"/>
  <c r="AC316" i="5"/>
  <c r="AD316" i="5"/>
  <c r="X318" i="4"/>
  <c r="AI316" i="5"/>
  <c r="Y318" i="4"/>
  <c r="AJ316" i="5"/>
  <c r="Z318" i="4"/>
  <c r="AL316" i="5"/>
  <c r="F316" i="5"/>
  <c r="H316" i="5"/>
  <c r="I316" i="5"/>
  <c r="Z316" i="5"/>
  <c r="AN316" i="5"/>
  <c r="AG317" i="5"/>
  <c r="V310" i="4"/>
  <c r="AF317" i="5"/>
  <c r="C310" i="4"/>
  <c r="C317" i="5"/>
  <c r="N310" i="4"/>
  <c r="T317" i="5"/>
  <c r="O310" i="4"/>
  <c r="U317" i="5"/>
  <c r="P310" i="4"/>
  <c r="W317" i="5"/>
  <c r="Q310" i="4"/>
  <c r="X317" i="5"/>
  <c r="AA317" i="5"/>
  <c r="X310" i="4"/>
  <c r="AI317" i="5"/>
  <c r="Y310" i="4"/>
  <c r="AJ317" i="5"/>
  <c r="Z310" i="4"/>
  <c r="AL317" i="5"/>
  <c r="F317" i="5"/>
  <c r="H317" i="5"/>
  <c r="I317" i="5"/>
  <c r="Z317" i="5"/>
  <c r="AN317" i="5"/>
  <c r="O318" i="5"/>
  <c r="K318" i="5"/>
  <c r="AG318" i="5"/>
  <c r="V311" i="4"/>
  <c r="AF318" i="5"/>
  <c r="C311" i="4"/>
  <c r="C318" i="5"/>
  <c r="D311" i="4"/>
  <c r="E318" i="5"/>
  <c r="I311" i="4"/>
  <c r="L318" i="5"/>
  <c r="J311" i="4"/>
  <c r="N318" i="5"/>
  <c r="L311" i="4"/>
  <c r="Q318" i="5"/>
  <c r="M311" i="4"/>
  <c r="R318" i="5"/>
  <c r="N311" i="4"/>
  <c r="T318" i="5"/>
  <c r="O311" i="4"/>
  <c r="U318" i="5"/>
  <c r="P311" i="4"/>
  <c r="W318" i="5"/>
  <c r="Q311" i="4"/>
  <c r="X318" i="5"/>
  <c r="AA318" i="5"/>
  <c r="AC318" i="5"/>
  <c r="AD318" i="5"/>
  <c r="X311" i="4"/>
  <c r="AI318" i="5"/>
  <c r="Y311" i="4"/>
  <c r="AJ318" i="5"/>
  <c r="Z311" i="4"/>
  <c r="AL318" i="5"/>
  <c r="F318" i="5"/>
  <c r="H318" i="5"/>
  <c r="I318" i="5"/>
  <c r="Z318" i="5"/>
  <c r="AN318" i="5"/>
  <c r="O319" i="5"/>
  <c r="K319" i="5"/>
  <c r="AG319" i="5"/>
  <c r="V312" i="4"/>
  <c r="AF319" i="5"/>
  <c r="C312" i="4"/>
  <c r="C319" i="5"/>
  <c r="D312" i="4"/>
  <c r="E319" i="5"/>
  <c r="I312" i="4"/>
  <c r="L319" i="5"/>
  <c r="J312" i="4"/>
  <c r="N319" i="5"/>
  <c r="L312" i="4"/>
  <c r="Q319" i="5"/>
  <c r="M312" i="4"/>
  <c r="R319" i="5"/>
  <c r="N312" i="4"/>
  <c r="T319" i="5"/>
  <c r="O312" i="4"/>
  <c r="U319" i="5"/>
  <c r="P312" i="4"/>
  <c r="W319" i="5"/>
  <c r="Q312" i="4"/>
  <c r="X319" i="5"/>
  <c r="AA319" i="5"/>
  <c r="AC319" i="5"/>
  <c r="AD319" i="5"/>
  <c r="X312" i="4"/>
  <c r="AI319" i="5"/>
  <c r="Y312" i="4"/>
  <c r="AJ319" i="5"/>
  <c r="Z312" i="4"/>
  <c r="AL319" i="5"/>
  <c r="F319" i="5"/>
  <c r="H319" i="5"/>
  <c r="I319" i="5"/>
  <c r="Z319" i="5"/>
  <c r="AN319" i="5"/>
  <c r="O320" i="5"/>
  <c r="K320" i="5"/>
  <c r="AG320" i="5"/>
  <c r="B336" i="4"/>
  <c r="V336" i="4"/>
  <c r="AF320" i="5"/>
  <c r="C320" i="5"/>
  <c r="D336" i="4"/>
  <c r="E320" i="5"/>
  <c r="I320" i="5"/>
  <c r="I336" i="4"/>
  <c r="L320" i="5"/>
  <c r="J336" i="4"/>
  <c r="N320" i="5"/>
  <c r="L336" i="4"/>
  <c r="Q320" i="5"/>
  <c r="M336" i="4"/>
  <c r="R320" i="5"/>
  <c r="N336" i="4"/>
  <c r="T320" i="5"/>
  <c r="O336" i="4"/>
  <c r="U320" i="5"/>
  <c r="P336" i="4"/>
  <c r="W320" i="5"/>
  <c r="Q336" i="4"/>
  <c r="X320" i="5"/>
  <c r="AA320" i="5"/>
  <c r="AC320" i="5"/>
  <c r="AD320" i="5"/>
  <c r="X336" i="4"/>
  <c r="AI320" i="5"/>
  <c r="Y336" i="4"/>
  <c r="AJ320" i="5"/>
  <c r="AL320" i="5"/>
  <c r="Z320" i="5"/>
  <c r="AN320" i="5"/>
  <c r="O321" i="5"/>
  <c r="K321" i="5"/>
  <c r="AG321" i="5"/>
  <c r="B337" i="4"/>
  <c r="V337" i="4"/>
  <c r="AF321" i="5"/>
  <c r="C321" i="5"/>
  <c r="D337" i="4"/>
  <c r="E321" i="5"/>
  <c r="I321" i="5"/>
  <c r="I337" i="4"/>
  <c r="L321" i="5"/>
  <c r="J337" i="4"/>
  <c r="N321" i="5"/>
  <c r="L337" i="4"/>
  <c r="Q321" i="5"/>
  <c r="M337" i="4"/>
  <c r="R321" i="5"/>
  <c r="N337" i="4"/>
  <c r="T321" i="5"/>
  <c r="O337" i="4"/>
  <c r="U321" i="5"/>
  <c r="P337" i="4"/>
  <c r="W321" i="5"/>
  <c r="Q337" i="4"/>
  <c r="X321" i="5"/>
  <c r="AA321" i="5"/>
  <c r="AC321" i="5"/>
  <c r="AD321" i="5"/>
  <c r="X337" i="4"/>
  <c r="AI321" i="5"/>
  <c r="Y337" i="4"/>
  <c r="AJ321" i="5"/>
  <c r="AL321" i="5"/>
  <c r="Z321" i="5"/>
  <c r="AN321" i="5"/>
  <c r="O322" i="5"/>
  <c r="K322" i="5"/>
  <c r="AG322" i="5"/>
  <c r="B338" i="4"/>
  <c r="V338" i="4"/>
  <c r="AF322" i="5"/>
  <c r="C322" i="5"/>
  <c r="D338" i="4"/>
  <c r="E322" i="5"/>
  <c r="I322" i="5"/>
  <c r="I338" i="4"/>
  <c r="L322" i="5"/>
  <c r="J338" i="4"/>
  <c r="N322" i="5"/>
  <c r="L338" i="4"/>
  <c r="Q322" i="5"/>
  <c r="M338" i="4"/>
  <c r="R322" i="5"/>
  <c r="N338" i="4"/>
  <c r="T322" i="5"/>
  <c r="O338" i="4"/>
  <c r="U322" i="5"/>
  <c r="P338" i="4"/>
  <c r="W322" i="5"/>
  <c r="Q338" i="4"/>
  <c r="X322" i="5"/>
  <c r="AA322" i="5"/>
  <c r="AC322" i="5"/>
  <c r="AD322" i="5"/>
  <c r="X338" i="4"/>
  <c r="AI322" i="5"/>
  <c r="Y338" i="4"/>
  <c r="AJ322" i="5"/>
  <c r="AL322" i="5"/>
  <c r="Z322" i="5"/>
  <c r="AN322" i="5"/>
  <c r="O323" i="5"/>
  <c r="K323" i="5"/>
  <c r="AG323" i="5"/>
  <c r="B321" i="4"/>
  <c r="V321" i="4"/>
  <c r="AF323" i="5"/>
  <c r="C323" i="5"/>
  <c r="D321" i="4"/>
  <c r="E323" i="5"/>
  <c r="I323" i="5"/>
  <c r="I321" i="4"/>
  <c r="L323" i="5"/>
  <c r="J321" i="4"/>
  <c r="N323" i="5"/>
  <c r="L321" i="4"/>
  <c r="Q323" i="5"/>
  <c r="M321" i="4"/>
  <c r="R323" i="5"/>
  <c r="N321" i="4"/>
  <c r="T323" i="5"/>
  <c r="O321" i="4"/>
  <c r="U323" i="5"/>
  <c r="P321" i="4"/>
  <c r="W323" i="5"/>
  <c r="Q321" i="4"/>
  <c r="X323" i="5"/>
  <c r="AA323" i="5"/>
  <c r="AC323" i="5"/>
  <c r="AD323" i="5"/>
  <c r="X321" i="4"/>
  <c r="AI323" i="5"/>
  <c r="Y321" i="4"/>
  <c r="AJ323" i="5"/>
  <c r="AL323" i="5"/>
  <c r="Z323" i="5"/>
  <c r="AN323" i="5"/>
  <c r="O324" i="5"/>
  <c r="K324" i="5"/>
  <c r="AG324" i="5"/>
  <c r="B322" i="4"/>
  <c r="V322" i="4"/>
  <c r="AF324" i="5"/>
  <c r="C324" i="5"/>
  <c r="D322" i="4"/>
  <c r="E324" i="5"/>
  <c r="I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X322" i="4"/>
  <c r="AI324" i="5"/>
  <c r="Y322" i="4"/>
  <c r="AJ324" i="5"/>
  <c r="AL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4" i="4"/>
  <c r="D324" i="4"/>
  <c r="E326" i="5"/>
  <c r="I326" i="5"/>
  <c r="I324" i="4"/>
  <c r="L326" i="5"/>
  <c r="J324" i="4"/>
  <c r="N326" i="5"/>
  <c r="L324" i="4"/>
  <c r="Q326" i="5"/>
  <c r="M324" i="4"/>
  <c r="R326" i="5"/>
  <c r="N324" i="4"/>
  <c r="T326" i="5"/>
  <c r="O324" i="4"/>
  <c r="U326" i="5"/>
  <c r="P324" i="4"/>
  <c r="W326" i="5"/>
  <c r="Q324" i="4"/>
  <c r="X326" i="5"/>
  <c r="AA326" i="5"/>
  <c r="AC326" i="5"/>
  <c r="AD326" i="5"/>
  <c r="X324" i="4"/>
  <c r="AI326" i="5"/>
  <c r="Y324" i="4"/>
  <c r="AJ326" i="5"/>
  <c r="AL326" i="5"/>
  <c r="Z326" i="5"/>
  <c r="AN326" i="5"/>
  <c r="O327" i="5"/>
  <c r="K327" i="5"/>
  <c r="AG327" i="5"/>
  <c r="B325" i="4"/>
  <c r="V325" i="4"/>
  <c r="AF327" i="5"/>
  <c r="C327" i="5"/>
  <c r="D325" i="4"/>
  <c r="E327" i="5"/>
  <c r="I327" i="5"/>
  <c r="I325" i="4"/>
  <c r="L327" i="5"/>
  <c r="J325" i="4"/>
  <c r="N327" i="5"/>
  <c r="L325" i="4"/>
  <c r="Q327" i="5"/>
  <c r="M325" i="4"/>
  <c r="R327" i="5"/>
  <c r="N325" i="4"/>
  <c r="T327" i="5"/>
  <c r="O325" i="4"/>
  <c r="U327" i="5"/>
  <c r="P325" i="4"/>
  <c r="W327" i="5"/>
  <c r="Q325" i="4"/>
  <c r="X327" i="5"/>
  <c r="AA327" i="5"/>
  <c r="AC327" i="5"/>
  <c r="AD327" i="5"/>
  <c r="X325" i="4"/>
  <c r="AI327" i="5"/>
  <c r="Y325" i="4"/>
  <c r="AJ327" i="5"/>
  <c r="AL327" i="5"/>
  <c r="Z327" i="5"/>
  <c r="AN327" i="5"/>
  <c r="O328" i="5"/>
  <c r="K328" i="5"/>
  <c r="AG328" i="5"/>
  <c r="B326" i="4"/>
  <c r="V326" i="4"/>
  <c r="AF328" i="5"/>
  <c r="C328" i="5"/>
  <c r="D326" i="4"/>
  <c r="E328" i="5"/>
  <c r="I326" i="4"/>
  <c r="L328" i="5"/>
  <c r="J326" i="4"/>
  <c r="N328" i="5"/>
  <c r="L326" i="4"/>
  <c r="Q328" i="5"/>
  <c r="M326" i="4"/>
  <c r="R328" i="5"/>
  <c r="N326" i="4"/>
  <c r="T328" i="5"/>
  <c r="O326" i="4"/>
  <c r="U328" i="5"/>
  <c r="P326" i="4"/>
  <c r="W328" i="5"/>
  <c r="Q326" i="4"/>
  <c r="X328" i="5"/>
  <c r="AA328" i="5"/>
  <c r="AC328" i="5"/>
  <c r="AD328" i="5"/>
  <c r="X326" i="4"/>
  <c r="AI328" i="5"/>
  <c r="Y326" i="4"/>
  <c r="AJ328" i="5"/>
  <c r="AL328" i="5"/>
  <c r="F328" i="5"/>
  <c r="H328" i="5"/>
  <c r="I328" i="5"/>
  <c r="Z328" i="5"/>
  <c r="AN328" i="5"/>
  <c r="O329" i="5"/>
  <c r="K329" i="5"/>
  <c r="AG329" i="5"/>
  <c r="B327" i="4"/>
  <c r="V327" i="4"/>
  <c r="AF329" i="5"/>
  <c r="C329" i="5"/>
  <c r="D327" i="4"/>
  <c r="E329" i="5"/>
  <c r="I327" i="4"/>
  <c r="L329" i="5"/>
  <c r="J327" i="4"/>
  <c r="N329" i="5"/>
  <c r="L327" i="4"/>
  <c r="Q329" i="5"/>
  <c r="M327" i="4"/>
  <c r="R329" i="5"/>
  <c r="N327" i="4"/>
  <c r="T329" i="5"/>
  <c r="O327" i="4"/>
  <c r="U329" i="5"/>
  <c r="P327" i="4"/>
  <c r="W329" i="5"/>
  <c r="Q327" i="4"/>
  <c r="X329" i="5"/>
  <c r="AA329" i="5"/>
  <c r="AC329" i="5"/>
  <c r="AD329" i="5"/>
  <c r="X327" i="4"/>
  <c r="AI329" i="5"/>
  <c r="Y327" i="4"/>
  <c r="AJ329" i="5"/>
  <c r="AL329" i="5"/>
  <c r="F329" i="5"/>
  <c r="H329" i="5"/>
  <c r="I329" i="5"/>
  <c r="Z329" i="5"/>
  <c r="AN329" i="5"/>
  <c r="O330" i="5"/>
  <c r="K330" i="5"/>
  <c r="AG330" i="5"/>
  <c r="B328" i="4"/>
  <c r="V328" i="4"/>
  <c r="AF330" i="5"/>
  <c r="C330" i="5"/>
  <c r="D328" i="4"/>
  <c r="E330" i="5"/>
  <c r="I328" i="4"/>
  <c r="L330" i="5"/>
  <c r="J328" i="4"/>
  <c r="N330" i="5"/>
  <c r="L328" i="4"/>
  <c r="Q330" i="5"/>
  <c r="M328" i="4"/>
  <c r="R330" i="5"/>
  <c r="N328" i="4"/>
  <c r="T330" i="5"/>
  <c r="O328" i="4"/>
  <c r="U330" i="5"/>
  <c r="P328" i="4"/>
  <c r="W330" i="5"/>
  <c r="Q328" i="4"/>
  <c r="X330" i="5"/>
  <c r="AA330" i="5"/>
  <c r="AC330" i="5"/>
  <c r="AD330" i="5"/>
  <c r="X328" i="4"/>
  <c r="AI330" i="5"/>
  <c r="Y328" i="4"/>
  <c r="AJ330" i="5"/>
  <c r="AL330" i="5"/>
  <c r="F330" i="5"/>
  <c r="H330" i="5"/>
  <c r="I330" i="5"/>
  <c r="Z330" i="5"/>
  <c r="AN330" i="5"/>
  <c r="O331" i="5"/>
  <c r="K331" i="5"/>
  <c r="AG331" i="5"/>
  <c r="B348" i="4"/>
  <c r="V348" i="4"/>
  <c r="AF331" i="5"/>
  <c r="C331" i="5"/>
  <c r="D348" i="4"/>
  <c r="E331" i="5"/>
  <c r="I331" i="5"/>
  <c r="I348" i="4"/>
  <c r="L331" i="5"/>
  <c r="J348" i="4"/>
  <c r="N331" i="5"/>
  <c r="L348" i="4"/>
  <c r="Q331" i="5"/>
  <c r="M348" i="4"/>
  <c r="R331" i="5"/>
  <c r="N348" i="4"/>
  <c r="T331" i="5"/>
  <c r="O348" i="4"/>
  <c r="U331" i="5"/>
  <c r="P348" i="4"/>
  <c r="W331" i="5"/>
  <c r="Q348" i="4"/>
  <c r="X331" i="5"/>
  <c r="AA331" i="5"/>
  <c r="AC331" i="5"/>
  <c r="AD331" i="5"/>
  <c r="X348" i="4"/>
  <c r="AI331" i="5"/>
  <c r="Y348" i="4"/>
  <c r="AJ331" i="5"/>
  <c r="AL331" i="5"/>
  <c r="Z331" i="5"/>
  <c r="AN331" i="5"/>
  <c r="O332" i="5"/>
  <c r="K332" i="5"/>
  <c r="AG332" i="5"/>
  <c r="B349" i="4"/>
  <c r="AF332" i="5"/>
  <c r="C332" i="5"/>
  <c r="D349" i="4"/>
  <c r="E332" i="5"/>
  <c r="I332" i="5"/>
  <c r="I349" i="4"/>
  <c r="L332" i="5"/>
  <c r="J349" i="4"/>
  <c r="N332" i="5"/>
  <c r="L349" i="4"/>
  <c r="Q332" i="5"/>
  <c r="M349" i="4"/>
  <c r="R332" i="5"/>
  <c r="N349" i="4"/>
  <c r="T332" i="5"/>
  <c r="O349" i="4"/>
  <c r="U332" i="5"/>
  <c r="P349" i="4"/>
  <c r="W332" i="5"/>
  <c r="Q349" i="4"/>
  <c r="X332" i="5"/>
  <c r="AA332" i="5"/>
  <c r="AC332" i="5"/>
  <c r="AD332" i="5"/>
  <c r="X349" i="4"/>
  <c r="AI332" i="5"/>
  <c r="Z332" i="5"/>
  <c r="AN332" i="5"/>
  <c r="O333" i="5"/>
  <c r="K333" i="5"/>
  <c r="AG333" i="5"/>
  <c r="B347" i="4"/>
  <c r="V347" i="4"/>
  <c r="AF333" i="5"/>
  <c r="C333" i="5"/>
  <c r="D347" i="4"/>
  <c r="E333" i="5"/>
  <c r="I333" i="5"/>
  <c r="I347" i="4"/>
  <c r="L333" i="5"/>
  <c r="J347" i="4"/>
  <c r="N333" i="5"/>
  <c r="L347" i="4"/>
  <c r="Q333" i="5"/>
  <c r="M347" i="4"/>
  <c r="R333" i="5"/>
  <c r="N347" i="4"/>
  <c r="T333" i="5"/>
  <c r="O347" i="4"/>
  <c r="U333" i="5"/>
  <c r="P347" i="4"/>
  <c r="W333" i="5"/>
  <c r="Q347" i="4"/>
  <c r="X333" i="5"/>
  <c r="AA333" i="5"/>
  <c r="AC333" i="5"/>
  <c r="AD333" i="5"/>
  <c r="X347" i="4"/>
  <c r="AI333" i="5"/>
  <c r="Y347" i="4"/>
  <c r="AJ333" i="5"/>
  <c r="AL333" i="5"/>
  <c r="Z333" i="5"/>
  <c r="AN333" i="5"/>
  <c r="O334" i="5"/>
  <c r="K334" i="5"/>
  <c r="AG334" i="5"/>
  <c r="B350" i="4"/>
  <c r="V350" i="4"/>
  <c r="AF334" i="5"/>
  <c r="C334" i="5"/>
  <c r="D350" i="4"/>
  <c r="E334" i="5"/>
  <c r="I334" i="5"/>
  <c r="I350" i="4"/>
  <c r="L334" i="5"/>
  <c r="J350" i="4"/>
  <c r="N334" i="5"/>
  <c r="L350" i="4"/>
  <c r="Q334" i="5"/>
  <c r="M350" i="4"/>
  <c r="R334" i="5"/>
  <c r="N350" i="4"/>
  <c r="T334" i="5"/>
  <c r="O350" i="4"/>
  <c r="U334" i="5"/>
  <c r="P350" i="4"/>
  <c r="W334" i="5"/>
  <c r="Q350" i="4"/>
  <c r="X334" i="5"/>
  <c r="AA334" i="5"/>
  <c r="AC334" i="5"/>
  <c r="AD334" i="5"/>
  <c r="X350" i="4"/>
  <c r="AI334" i="5"/>
  <c r="Y350" i="4"/>
  <c r="AJ334" i="5"/>
  <c r="AL334" i="5"/>
  <c r="Z334" i="5"/>
  <c r="AN334" i="5"/>
  <c r="O335" i="5"/>
  <c r="K335" i="5"/>
  <c r="AG335" i="5"/>
  <c r="B351" i="4"/>
  <c r="V351" i="4"/>
  <c r="AF335" i="5"/>
  <c r="C335" i="5"/>
  <c r="D351" i="4"/>
  <c r="E335" i="5"/>
  <c r="I351" i="4"/>
  <c r="L335" i="5"/>
  <c r="J351" i="4"/>
  <c r="N335" i="5"/>
  <c r="L351" i="4"/>
  <c r="Q335" i="5"/>
  <c r="M351" i="4"/>
  <c r="R335" i="5"/>
  <c r="N351" i="4"/>
  <c r="T335" i="5"/>
  <c r="O351" i="4"/>
  <c r="U335" i="5"/>
  <c r="P351" i="4"/>
  <c r="W335" i="5"/>
  <c r="Q351" i="4"/>
  <c r="X335" i="5"/>
  <c r="AA335" i="5"/>
  <c r="AC335" i="5"/>
  <c r="AD335" i="5"/>
  <c r="X351" i="4"/>
  <c r="AI335" i="5"/>
  <c r="Y351" i="4"/>
  <c r="AJ335" i="5"/>
  <c r="AL335" i="5"/>
  <c r="F335" i="5"/>
  <c r="H335" i="5"/>
  <c r="I335" i="5"/>
  <c r="Z335" i="5"/>
  <c r="AN335" i="5"/>
  <c r="O336" i="5"/>
  <c r="K336" i="5"/>
  <c r="AG336" i="5"/>
  <c r="B340" i="4"/>
  <c r="V340" i="4"/>
  <c r="AF336" i="5"/>
  <c r="C336" i="5"/>
  <c r="D340" i="4"/>
  <c r="E336" i="5"/>
  <c r="I340" i="4"/>
  <c r="L336" i="5"/>
  <c r="J340" i="4"/>
  <c r="N336" i="5"/>
  <c r="L340" i="4"/>
  <c r="Q336" i="5"/>
  <c r="M340" i="4"/>
  <c r="R336" i="5"/>
  <c r="N340" i="4"/>
  <c r="T336" i="5"/>
  <c r="O340" i="4"/>
  <c r="U336" i="5"/>
  <c r="P340" i="4"/>
  <c r="W336" i="5"/>
  <c r="Q340" i="4"/>
  <c r="X336" i="5"/>
  <c r="AA336" i="5"/>
  <c r="AC336" i="5"/>
  <c r="AD336" i="5"/>
  <c r="X340" i="4"/>
  <c r="AI336" i="5"/>
  <c r="Y340" i="4"/>
  <c r="AJ336" i="5"/>
  <c r="AL336" i="5"/>
  <c r="F336" i="5"/>
  <c r="H336" i="5"/>
  <c r="I336" i="5"/>
  <c r="Z336" i="5"/>
  <c r="AN336" i="5"/>
  <c r="O337" i="5"/>
  <c r="K337" i="5"/>
  <c r="AG337" i="5"/>
  <c r="B341" i="4"/>
  <c r="V341" i="4"/>
  <c r="AF337" i="5"/>
  <c r="C337" i="5"/>
  <c r="D341" i="4"/>
  <c r="E337" i="5"/>
  <c r="I337" i="5"/>
  <c r="I341" i="4"/>
  <c r="L337" i="5"/>
  <c r="J341" i="4"/>
  <c r="N337" i="5"/>
  <c r="L341" i="4"/>
  <c r="Q337" i="5"/>
  <c r="M341" i="4"/>
  <c r="R337" i="5"/>
  <c r="N341" i="4"/>
  <c r="T337" i="5"/>
  <c r="O341" i="4"/>
  <c r="U337" i="5"/>
  <c r="P341" i="4"/>
  <c r="W337" i="5"/>
  <c r="Q341" i="4"/>
  <c r="X337" i="5"/>
  <c r="AA337" i="5"/>
  <c r="AC337" i="5"/>
  <c r="AD337" i="5"/>
  <c r="X341" i="4"/>
  <c r="AI337" i="5"/>
  <c r="Y341" i="4"/>
  <c r="AJ337" i="5"/>
  <c r="AL337" i="5"/>
  <c r="Z337" i="5"/>
  <c r="AN337" i="5"/>
  <c r="O338" i="5"/>
  <c r="K338" i="5"/>
  <c r="AG338" i="5"/>
  <c r="AF338" i="5"/>
  <c r="C338" i="5"/>
  <c r="B342" i="4"/>
  <c r="D342" i="4"/>
  <c r="E338" i="5"/>
  <c r="I338" i="5"/>
  <c r="I342" i="4"/>
  <c r="L338" i="5"/>
  <c r="J342" i="4"/>
  <c r="N338" i="5"/>
  <c r="L342" i="4"/>
  <c r="Q338" i="5"/>
  <c r="M342" i="4"/>
  <c r="R338" i="5"/>
  <c r="N342" i="4"/>
  <c r="T338" i="5"/>
  <c r="O342" i="4"/>
  <c r="U338" i="5"/>
  <c r="P342" i="4"/>
  <c r="W338" i="5"/>
  <c r="Q342" i="4"/>
  <c r="X338" i="5"/>
  <c r="AA338" i="5"/>
  <c r="AC338" i="5"/>
  <c r="AD338" i="5"/>
  <c r="X342" i="4"/>
  <c r="AI338" i="5"/>
  <c r="Y342" i="4"/>
  <c r="AJ338" i="5"/>
  <c r="AL338" i="5"/>
  <c r="Z338" i="5"/>
  <c r="AN338" i="5"/>
  <c r="O339" i="5"/>
  <c r="K339" i="5"/>
  <c r="AG339" i="5"/>
  <c r="B343" i="4"/>
  <c r="V343" i="4"/>
  <c r="AF339" i="5"/>
  <c r="C339" i="5"/>
  <c r="D343" i="4"/>
  <c r="E339" i="5"/>
  <c r="I339" i="5"/>
  <c r="I343" i="4"/>
  <c r="L339" i="5"/>
  <c r="J343" i="4"/>
  <c r="N339" i="5"/>
  <c r="L343" i="4"/>
  <c r="Q339" i="5"/>
  <c r="M343" i="4"/>
  <c r="R339" i="5"/>
  <c r="N343" i="4"/>
  <c r="T339" i="5"/>
  <c r="O343" i="4"/>
  <c r="U339" i="5"/>
  <c r="P343" i="4"/>
  <c r="W339" i="5"/>
  <c r="Q343" i="4"/>
  <c r="X339" i="5"/>
  <c r="AA339" i="5"/>
  <c r="AC339" i="5"/>
  <c r="AD339" i="5"/>
  <c r="X343" i="4"/>
  <c r="AI339" i="5"/>
  <c r="Y343" i="4"/>
  <c r="AJ339" i="5"/>
  <c r="AL339" i="5"/>
  <c r="Z339" i="5"/>
  <c r="AN339" i="5"/>
  <c r="O340" i="5"/>
  <c r="K340" i="5"/>
  <c r="AG340" i="5"/>
  <c r="B346" i="4"/>
  <c r="V346" i="4"/>
  <c r="AF340" i="5"/>
  <c r="C340" i="5"/>
  <c r="D346" i="4"/>
  <c r="E340" i="5"/>
  <c r="I340" i="5"/>
  <c r="I346" i="4"/>
  <c r="L340" i="5"/>
  <c r="J346" i="4"/>
  <c r="N340" i="5"/>
  <c r="L346" i="4"/>
  <c r="Q340" i="5"/>
  <c r="M346" i="4"/>
  <c r="R340" i="5"/>
  <c r="N346" i="4"/>
  <c r="T340" i="5"/>
  <c r="O346" i="4"/>
  <c r="U340" i="5"/>
  <c r="P346" i="4"/>
  <c r="W340" i="5"/>
  <c r="Q346" i="4"/>
  <c r="X340" i="5"/>
  <c r="AA340" i="5"/>
  <c r="AC340" i="5"/>
  <c r="AD340" i="5"/>
  <c r="X346" i="4"/>
  <c r="AI340" i="5"/>
  <c r="Y346" i="4"/>
  <c r="AJ340" i="5"/>
  <c r="AL340" i="5"/>
  <c r="Z340" i="5"/>
  <c r="AN340" i="5"/>
  <c r="O341" i="5"/>
  <c r="K341" i="5"/>
  <c r="AG341" i="5"/>
  <c r="B344" i="4"/>
  <c r="V344" i="4"/>
  <c r="AF341" i="5"/>
  <c r="C341" i="5"/>
  <c r="D344" i="4"/>
  <c r="E341" i="5"/>
  <c r="I344" i="4"/>
  <c r="L341" i="5"/>
  <c r="J344" i="4"/>
  <c r="N341" i="5"/>
  <c r="L344" i="4"/>
  <c r="Q341" i="5"/>
  <c r="M344" i="4"/>
  <c r="R341" i="5"/>
  <c r="N344" i="4"/>
  <c r="T341" i="5"/>
  <c r="O344" i="4"/>
  <c r="U341" i="5"/>
  <c r="P344" i="4"/>
  <c r="W341" i="5"/>
  <c r="Q344" i="4"/>
  <c r="X341" i="5"/>
  <c r="AA341" i="5"/>
  <c r="AC341" i="5"/>
  <c r="AD341" i="5"/>
  <c r="X344" i="4"/>
  <c r="AI341" i="5"/>
  <c r="Y344" i="4"/>
  <c r="AJ341" i="5"/>
  <c r="AL341" i="5"/>
  <c r="F341" i="5"/>
  <c r="H341" i="5"/>
  <c r="I341" i="5"/>
  <c r="Z341" i="5"/>
  <c r="AN341" i="5"/>
  <c r="O342" i="5"/>
  <c r="K342" i="5"/>
  <c r="AG342" i="5"/>
  <c r="B352" i="4"/>
  <c r="V352" i="4"/>
  <c r="AF342" i="5"/>
  <c r="C342" i="5"/>
  <c r="D352" i="4"/>
  <c r="E342" i="5"/>
  <c r="I342" i="5"/>
  <c r="I352" i="4"/>
  <c r="L342" i="5"/>
  <c r="J352" i="4"/>
  <c r="N342" i="5"/>
  <c r="L352" i="4"/>
  <c r="Q342" i="5"/>
  <c r="M352" i="4"/>
  <c r="R342" i="5"/>
  <c r="N352" i="4"/>
  <c r="T342" i="5"/>
  <c r="O352" i="4"/>
  <c r="U342" i="5"/>
  <c r="P352" i="4"/>
  <c r="W342" i="5"/>
  <c r="Q352" i="4"/>
  <c r="X342" i="5"/>
  <c r="AA342" i="5"/>
  <c r="AC342" i="5"/>
  <c r="AD342" i="5"/>
  <c r="X352" i="4"/>
  <c r="AI342" i="5"/>
  <c r="Y352" i="4"/>
  <c r="AJ342" i="5"/>
  <c r="AL342" i="5"/>
  <c r="Z342" i="5"/>
  <c r="AN342" i="5"/>
  <c r="O343" i="5"/>
  <c r="K343" i="5"/>
  <c r="AG343" i="5"/>
  <c r="B329" i="4"/>
  <c r="V329" i="4"/>
  <c r="AF343" i="5"/>
  <c r="C343" i="5"/>
  <c r="D329" i="4"/>
  <c r="E343" i="5"/>
  <c r="I329" i="4"/>
  <c r="L343" i="5"/>
  <c r="J329" i="4"/>
  <c r="N343" i="5"/>
  <c r="L329" i="4"/>
  <c r="Q343" i="5"/>
  <c r="M329" i="4"/>
  <c r="R343" i="5"/>
  <c r="N329" i="4"/>
  <c r="T343" i="5"/>
  <c r="O329" i="4"/>
  <c r="U343" i="5"/>
  <c r="P329" i="4"/>
  <c r="W343" i="5"/>
  <c r="Q329" i="4"/>
  <c r="X343" i="5"/>
  <c r="AA343" i="5"/>
  <c r="AC343" i="5"/>
  <c r="AD343" i="5"/>
  <c r="X329" i="4"/>
  <c r="AI343" i="5"/>
  <c r="Y329" i="4"/>
  <c r="AJ343" i="5"/>
  <c r="AL343" i="5"/>
  <c r="F343" i="5"/>
  <c r="H343" i="5"/>
  <c r="I343" i="5"/>
  <c r="Z343" i="5"/>
  <c r="AN343" i="5"/>
  <c r="O344" i="5"/>
  <c r="K344" i="5"/>
  <c r="AG344" i="5"/>
  <c r="B330" i="4"/>
  <c r="V330" i="4"/>
  <c r="AF344" i="5"/>
  <c r="C344" i="5"/>
  <c r="D330" i="4"/>
  <c r="E344" i="5"/>
  <c r="I344" i="5"/>
  <c r="I330" i="4"/>
  <c r="L344" i="5"/>
  <c r="J330" i="4"/>
  <c r="N344" i="5"/>
  <c r="L330" i="4"/>
  <c r="Q344" i="5"/>
  <c r="M330" i="4"/>
  <c r="R344" i="5"/>
  <c r="N330" i="4"/>
  <c r="T344" i="5"/>
  <c r="O330" i="4"/>
  <c r="U344" i="5"/>
  <c r="P330" i="4"/>
  <c r="W344" i="5"/>
  <c r="Q330" i="4"/>
  <c r="X344" i="5"/>
  <c r="AA344" i="5"/>
  <c r="AC344" i="5"/>
  <c r="AD344" i="5"/>
  <c r="X330" i="4"/>
  <c r="AI344" i="5"/>
  <c r="Y330" i="4"/>
  <c r="AJ344" i="5"/>
  <c r="AL344" i="5"/>
  <c r="Z344" i="5"/>
  <c r="AN344" i="5"/>
  <c r="O345" i="5"/>
  <c r="K345" i="5"/>
  <c r="AG345" i="5"/>
  <c r="B331" i="4"/>
  <c r="V331" i="4"/>
  <c r="AF345" i="5"/>
  <c r="C345" i="5"/>
  <c r="D331" i="4"/>
  <c r="E345" i="5"/>
  <c r="I331" i="4"/>
  <c r="L345" i="5"/>
  <c r="J331" i="4"/>
  <c r="N345" i="5"/>
  <c r="L331" i="4"/>
  <c r="Q345" i="5"/>
  <c r="M331" i="4"/>
  <c r="R345" i="5"/>
  <c r="N331" i="4"/>
  <c r="T345" i="5"/>
  <c r="O331" i="4"/>
  <c r="U345" i="5"/>
  <c r="P331" i="4"/>
  <c r="W345" i="5"/>
  <c r="Q331" i="4"/>
  <c r="X345" i="5"/>
  <c r="AA345" i="5"/>
  <c r="AC345" i="5"/>
  <c r="AD345" i="5"/>
  <c r="X331" i="4"/>
  <c r="AI345" i="5"/>
  <c r="Y331" i="4"/>
  <c r="AJ345" i="5"/>
  <c r="AL345" i="5"/>
  <c r="F345" i="5"/>
  <c r="H345" i="5"/>
  <c r="I345" i="5"/>
  <c r="Z345" i="5"/>
  <c r="AN345" i="5"/>
  <c r="O346" i="5"/>
  <c r="K346" i="5"/>
  <c r="AG346" i="5"/>
  <c r="B332" i="4"/>
  <c r="V332" i="4"/>
  <c r="AF346" i="5"/>
  <c r="C346" i="5"/>
  <c r="D332" i="4"/>
  <c r="E346" i="5"/>
  <c r="I346" i="5"/>
  <c r="I332" i="4"/>
  <c r="L346" i="5"/>
  <c r="J332" i="4"/>
  <c r="N346" i="5"/>
  <c r="L332" i="4"/>
  <c r="Q346" i="5"/>
  <c r="M332" i="4"/>
  <c r="R346" i="5"/>
  <c r="N332" i="4"/>
  <c r="T346" i="5"/>
  <c r="O332" i="4"/>
  <c r="U346" i="5"/>
  <c r="P332" i="4"/>
  <c r="W346" i="5"/>
  <c r="Q332" i="4"/>
  <c r="X346" i="5"/>
  <c r="AA346" i="5"/>
  <c r="AC346" i="5"/>
  <c r="AD346" i="5"/>
  <c r="X332" i="4"/>
  <c r="AI346" i="5"/>
  <c r="Y332" i="4"/>
  <c r="AJ346" i="5"/>
  <c r="AL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O348" i="5"/>
  <c r="K348" i="5"/>
  <c r="AG348" i="5"/>
  <c r="B339" i="4"/>
  <c r="V339" i="4"/>
  <c r="AF348" i="5"/>
  <c r="C348" i="5"/>
  <c r="D339" i="4"/>
  <c r="E348" i="5"/>
  <c r="I348" i="5"/>
  <c r="I339" i="4"/>
  <c r="L348" i="5"/>
  <c r="J339" i="4"/>
  <c r="N348" i="5"/>
  <c r="L339" i="4"/>
  <c r="Q348" i="5"/>
  <c r="M339" i="4"/>
  <c r="R348" i="5"/>
  <c r="N339" i="4"/>
  <c r="T348" i="5"/>
  <c r="O339" i="4"/>
  <c r="U348" i="5"/>
  <c r="P339" i="4"/>
  <c r="W348" i="5"/>
  <c r="Q339" i="4"/>
  <c r="X348" i="5"/>
  <c r="AA348" i="5"/>
  <c r="AC348" i="5"/>
  <c r="AD348" i="5"/>
  <c r="X339" i="4"/>
  <c r="AI348" i="5"/>
  <c r="Y339" i="4"/>
  <c r="AJ348" i="5"/>
  <c r="AL348" i="5"/>
  <c r="Z348" i="5"/>
  <c r="AN348" i="5"/>
  <c r="O349" i="5"/>
  <c r="K349" i="5"/>
  <c r="AG349" i="5"/>
  <c r="B333" i="4"/>
  <c r="V333" i="4"/>
  <c r="AF349" i="5"/>
  <c r="C349" i="5"/>
  <c r="D333" i="4"/>
  <c r="E349" i="5"/>
  <c r="I333" i="4"/>
  <c r="L349" i="5"/>
  <c r="J333" i="4"/>
  <c r="N349" i="5"/>
  <c r="L333" i="4"/>
  <c r="Q349" i="5"/>
  <c r="M333" i="4"/>
  <c r="R349" i="5"/>
  <c r="N333" i="4"/>
  <c r="T349" i="5"/>
  <c r="O333" i="4"/>
  <c r="U349" i="5"/>
  <c r="P333" i="4"/>
  <c r="W349" i="5"/>
  <c r="Q333" i="4"/>
  <c r="X349" i="5"/>
  <c r="AA349" i="5"/>
  <c r="AC349" i="5"/>
  <c r="AD349" i="5"/>
  <c r="X333" i="4"/>
  <c r="AI349" i="5"/>
  <c r="Y333" i="4"/>
  <c r="AJ349" i="5"/>
  <c r="AL349" i="5"/>
  <c r="F349" i="5"/>
  <c r="H349" i="5"/>
  <c r="I349" i="5"/>
  <c r="Z349" i="5"/>
  <c r="AN349" i="5"/>
  <c r="O350" i="5"/>
  <c r="K350" i="5"/>
  <c r="AG350" i="5"/>
  <c r="B334" i="4"/>
  <c r="V334" i="4"/>
  <c r="AF350" i="5"/>
  <c r="C350" i="5"/>
  <c r="D334" i="4"/>
  <c r="E350" i="5"/>
  <c r="I334" i="4"/>
  <c r="L350" i="5"/>
  <c r="J334" i="4"/>
  <c r="N350" i="5"/>
  <c r="L334" i="4"/>
  <c r="Q350" i="5"/>
  <c r="M334" i="4"/>
  <c r="R350" i="5"/>
  <c r="N334" i="4"/>
  <c r="T350" i="5"/>
  <c r="O334" i="4"/>
  <c r="U350" i="5"/>
  <c r="P334" i="4"/>
  <c r="W350" i="5"/>
  <c r="Q334" i="4"/>
  <c r="X350" i="5"/>
  <c r="AA350" i="5"/>
  <c r="AC350" i="5"/>
  <c r="AD350" i="5"/>
  <c r="X334" i="4"/>
  <c r="AI350" i="5"/>
  <c r="Y334" i="4"/>
  <c r="AJ350" i="5"/>
  <c r="AL350" i="5"/>
  <c r="F350" i="5"/>
  <c r="H350" i="5"/>
  <c r="I350" i="5"/>
  <c r="Z350" i="5"/>
  <c r="AN350" i="5"/>
  <c r="O351" i="5"/>
  <c r="K351" i="5"/>
  <c r="AG351" i="5"/>
  <c r="B335" i="4"/>
  <c r="V335" i="4"/>
  <c r="AF351" i="5"/>
  <c r="C351" i="5"/>
  <c r="D335" i="4"/>
  <c r="E351" i="5"/>
  <c r="I335" i="4"/>
  <c r="L351" i="5"/>
  <c r="J335" i="4"/>
  <c r="N351" i="5"/>
  <c r="L335" i="4"/>
  <c r="Q351" i="5"/>
  <c r="M335" i="4"/>
  <c r="R351" i="5"/>
  <c r="N335" i="4"/>
  <c r="T351" i="5"/>
  <c r="O335" i="4"/>
  <c r="U351" i="5"/>
  <c r="P335" i="4"/>
  <c r="W351" i="5"/>
  <c r="Q335" i="4"/>
  <c r="X351" i="5"/>
  <c r="AA351" i="5"/>
  <c r="AC351" i="5"/>
  <c r="AD351" i="5"/>
  <c r="X335" i="4"/>
  <c r="AI351" i="5"/>
  <c r="Y335" i="4"/>
  <c r="AJ351" i="5"/>
  <c r="AL351" i="5"/>
  <c r="F351" i="5"/>
  <c r="H351" i="5"/>
  <c r="I351" i="5"/>
  <c r="Z351" i="5"/>
  <c r="AN351" i="5"/>
  <c r="O352" i="5"/>
  <c r="K352" i="5"/>
  <c r="AG352" i="5"/>
  <c r="B345" i="4"/>
  <c r="V345" i="4"/>
  <c r="AF352" i="5"/>
  <c r="C352" i="5"/>
  <c r="D345" i="4"/>
  <c r="E352" i="5"/>
  <c r="I352" i="5"/>
  <c r="I345" i="4"/>
  <c r="L352" i="5"/>
  <c r="J345" i="4"/>
  <c r="N352" i="5"/>
  <c r="L345" i="4"/>
  <c r="Q352" i="5"/>
  <c r="M345" i="4"/>
  <c r="R352" i="5"/>
  <c r="N345" i="4"/>
  <c r="T352" i="5"/>
  <c r="O345" i="4"/>
  <c r="U352" i="5"/>
  <c r="P345" i="4"/>
  <c r="W352" i="5"/>
  <c r="Q345" i="4"/>
  <c r="X352" i="5"/>
  <c r="AA352" i="5"/>
  <c r="AC352" i="5"/>
  <c r="AD352" i="5"/>
  <c r="X345" i="4"/>
  <c r="AI352" i="5"/>
  <c r="Y345" i="4"/>
  <c r="AJ352" i="5"/>
  <c r="AL352" i="5"/>
  <c r="Z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AA353" i="5"/>
  <c r="T353" i="4"/>
  <c r="AC353" i="5"/>
  <c r="U353" i="4"/>
  <c r="AD353" i="5"/>
  <c r="X353" i="4"/>
  <c r="AI353" i="5"/>
  <c r="Y353" i="4"/>
  <c r="AJ353" i="5"/>
  <c r="Z353" i="4"/>
  <c r="AL353" i="5"/>
  <c r="F353" i="5"/>
  <c r="H353" i="5"/>
  <c r="I353" i="5"/>
  <c r="Z353" i="5"/>
  <c r="AN353" i="5"/>
  <c r="W373" i="4"/>
  <c r="AG354" i="5"/>
  <c r="V373" i="4"/>
  <c r="AF354" i="5"/>
  <c r="C373" i="4"/>
  <c r="C354" i="5"/>
  <c r="N373" i="4"/>
  <c r="T354" i="5"/>
  <c r="O373" i="4"/>
  <c r="U354" i="5"/>
  <c r="P373" i="4"/>
  <c r="W354" i="5"/>
  <c r="Q373" i="4"/>
  <c r="X354" i="5"/>
  <c r="S373" i="4"/>
  <c r="AA354" i="5"/>
  <c r="T373" i="4"/>
  <c r="AC354" i="5"/>
  <c r="U373" i="4"/>
  <c r="AD354" i="5"/>
  <c r="X373" i="4"/>
  <c r="AI354" i="5"/>
  <c r="Y373" i="4"/>
  <c r="AJ354" i="5"/>
  <c r="Z373" i="4"/>
  <c r="AL354" i="5"/>
  <c r="F354" i="5"/>
  <c r="H354" i="5"/>
  <c r="I354" i="5"/>
  <c r="Z354" i="5"/>
  <c r="AN354" i="5"/>
  <c r="W374" i="4"/>
  <c r="AG355" i="5"/>
  <c r="V374" i="4"/>
  <c r="AF355" i="5"/>
  <c r="C374" i="4"/>
  <c r="C355" i="5"/>
  <c r="N374" i="4"/>
  <c r="T355" i="5"/>
  <c r="O374" i="4"/>
  <c r="U355" i="5"/>
  <c r="P374" i="4"/>
  <c r="W355" i="5"/>
  <c r="Q374" i="4"/>
  <c r="X355" i="5"/>
  <c r="S374" i="4"/>
  <c r="AA355" i="5"/>
  <c r="T374" i="4"/>
  <c r="AC355" i="5"/>
  <c r="U374" i="4"/>
  <c r="AD355" i="5"/>
  <c r="X374" i="4"/>
  <c r="AI355" i="5"/>
  <c r="Y374" i="4"/>
  <c r="AJ355" i="5"/>
  <c r="Z374" i="4"/>
  <c r="AL355" i="5"/>
  <c r="F355" i="5"/>
  <c r="H355" i="5"/>
  <c r="I355" i="5"/>
  <c r="Z355" i="5"/>
  <c r="AN355" i="5"/>
  <c r="B372" i="4"/>
  <c r="S372" i="4"/>
  <c r="AA356" i="5"/>
  <c r="P372" i="4"/>
  <c r="W356" i="5"/>
  <c r="K372" i="4"/>
  <c r="O356" i="5"/>
  <c r="H372" i="4"/>
  <c r="K356" i="5"/>
  <c r="W372" i="4"/>
  <c r="AG356" i="5"/>
  <c r="V372" i="4"/>
  <c r="AF356" i="5"/>
  <c r="C372" i="4"/>
  <c r="C356" i="5"/>
  <c r="D372" i="4"/>
  <c r="E356" i="5"/>
  <c r="I372" i="4"/>
  <c r="L356" i="5"/>
  <c r="J372" i="4"/>
  <c r="N356" i="5"/>
  <c r="L372" i="4"/>
  <c r="Q356" i="5"/>
  <c r="M372" i="4"/>
  <c r="R356" i="5"/>
  <c r="N372" i="4"/>
  <c r="T356" i="5"/>
  <c r="O372" i="4"/>
  <c r="U356" i="5"/>
  <c r="Q372" i="4"/>
  <c r="X356" i="5"/>
  <c r="R372" i="4"/>
  <c r="Z356" i="5"/>
  <c r="T372" i="4"/>
  <c r="AC356" i="5"/>
  <c r="U372" i="4"/>
  <c r="AD356" i="5"/>
  <c r="X372" i="4"/>
  <c r="AI356" i="5"/>
  <c r="Y372" i="4"/>
  <c r="AJ356" i="5"/>
  <c r="Z372" i="4"/>
  <c r="AL356" i="5"/>
  <c r="F356" i="5"/>
  <c r="H356" i="5"/>
  <c r="I356" i="5"/>
  <c r="AN356" i="5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T354" i="4"/>
  <c r="AC357" i="5"/>
  <c r="U354" i="4"/>
  <c r="AD357" i="5"/>
  <c r="X354" i="4"/>
  <c r="AI357" i="5"/>
  <c r="Y354" i="4"/>
  <c r="AJ357" i="5"/>
  <c r="Z354" i="4"/>
  <c r="AL357" i="5"/>
  <c r="Z357" i="5"/>
  <c r="F357" i="5"/>
  <c r="H357" i="5"/>
  <c r="I357" i="5"/>
  <c r="AN357" i="5"/>
  <c r="B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T355" i="4"/>
  <c r="AC358" i="5"/>
  <c r="U355" i="4"/>
  <c r="AD358" i="5"/>
  <c r="X355" i="4"/>
  <c r="AI358" i="5"/>
  <c r="Y355" i="4"/>
  <c r="AJ358" i="5"/>
  <c r="Z355" i="4"/>
  <c r="AL358" i="5"/>
  <c r="Z358" i="5"/>
  <c r="F358" i="5"/>
  <c r="H358" i="5"/>
  <c r="I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Z359" i="5"/>
  <c r="F359" i="5"/>
  <c r="H359" i="5"/>
  <c r="I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60" i="5"/>
  <c r="F360" i="5"/>
  <c r="H360" i="5"/>
  <c r="I360" i="5"/>
  <c r="AN360" i="5"/>
  <c r="S358" i="4"/>
  <c r="P358" i="4"/>
  <c r="W361" i="5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Q358" i="4"/>
  <c r="X361" i="5"/>
  <c r="R358" i="4"/>
  <c r="Z361" i="5"/>
  <c r="T358" i="4"/>
  <c r="AC361" i="5"/>
  <c r="U358" i="4"/>
  <c r="AD361" i="5"/>
  <c r="X358" i="4"/>
  <c r="AI361" i="5"/>
  <c r="F361" i="5"/>
  <c r="H361" i="5"/>
  <c r="I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F366" i="5"/>
  <c r="H366" i="5"/>
  <c r="I366" i="5"/>
  <c r="Z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67" i="4"/>
  <c r="K367" i="4"/>
  <c r="O370" i="5"/>
  <c r="H367" i="4"/>
  <c r="K370" i="5"/>
  <c r="W367" i="4"/>
  <c r="AG370" i="5"/>
  <c r="V367" i="4"/>
  <c r="AF370" i="5"/>
  <c r="C367" i="4"/>
  <c r="C370" i="5"/>
  <c r="D367" i="4"/>
  <c r="E370" i="5"/>
  <c r="I367" i="4"/>
  <c r="L370" i="5"/>
  <c r="J367" i="4"/>
  <c r="N370" i="5"/>
  <c r="L367" i="4"/>
  <c r="Q370" i="5"/>
  <c r="M367" i="4"/>
  <c r="R370" i="5"/>
  <c r="N367" i="4"/>
  <c r="T370" i="5"/>
  <c r="O367" i="4"/>
  <c r="U370" i="5"/>
  <c r="P367" i="4"/>
  <c r="W370" i="5"/>
  <c r="Q367" i="4"/>
  <c r="X370" i="5"/>
  <c r="S367" i="4"/>
  <c r="AA370" i="5"/>
  <c r="T367" i="4"/>
  <c r="AC370" i="5"/>
  <c r="U367" i="4"/>
  <c r="AD370" i="5"/>
  <c r="X367" i="4"/>
  <c r="AI370" i="5"/>
  <c r="Y367" i="4"/>
  <c r="AJ370" i="5"/>
  <c r="Z367" i="4"/>
  <c r="AL370" i="5"/>
  <c r="F370" i="5"/>
  <c r="H370" i="5"/>
  <c r="I370" i="5"/>
  <c r="Z370" i="5"/>
  <c r="AN370" i="5"/>
  <c r="B368" i="4"/>
  <c r="S368" i="4"/>
  <c r="AA371" i="5"/>
  <c r="P368" i="4"/>
  <c r="W371" i="5"/>
  <c r="K368" i="4"/>
  <c r="O371" i="5"/>
  <c r="H368" i="4"/>
  <c r="K371" i="5"/>
  <c r="W368" i="4"/>
  <c r="AG371" i="5"/>
  <c r="V368" i="4"/>
  <c r="AF371" i="5"/>
  <c r="C368" i="4"/>
  <c r="C371" i="5"/>
  <c r="D368" i="4"/>
  <c r="E371" i="5"/>
  <c r="I368" i="4"/>
  <c r="L371" i="5"/>
  <c r="J368" i="4"/>
  <c r="N371" i="5"/>
  <c r="L368" i="4"/>
  <c r="Q371" i="5"/>
  <c r="M368" i="4"/>
  <c r="R371" i="5"/>
  <c r="N368" i="4"/>
  <c r="T371" i="5"/>
  <c r="O368" i="4"/>
  <c r="U371" i="5"/>
  <c r="Q368" i="4"/>
  <c r="X371" i="5"/>
  <c r="R368" i="4"/>
  <c r="Z371" i="5"/>
  <c r="T368" i="4"/>
  <c r="AC371" i="5"/>
  <c r="U368" i="4"/>
  <c r="AD371" i="5"/>
  <c r="X368" i="4"/>
  <c r="AI371" i="5"/>
  <c r="F371" i="5"/>
  <c r="H371" i="5"/>
  <c r="I371" i="5"/>
  <c r="AN371" i="5"/>
  <c r="B369" i="4"/>
  <c r="K369" i="4"/>
  <c r="O372" i="5"/>
  <c r="H369" i="4"/>
  <c r="K372" i="5"/>
  <c r="W369" i="4"/>
  <c r="AG372" i="5"/>
  <c r="V369" i="4"/>
  <c r="AF372" i="5"/>
  <c r="C369" i="4"/>
  <c r="C372" i="5"/>
  <c r="D369" i="4"/>
  <c r="E372" i="5"/>
  <c r="I369" i="4"/>
  <c r="L372" i="5"/>
  <c r="J369" i="4"/>
  <c r="N372" i="5"/>
  <c r="L369" i="4"/>
  <c r="Q372" i="5"/>
  <c r="M369" i="4"/>
  <c r="R372" i="5"/>
  <c r="N369" i="4"/>
  <c r="T372" i="5"/>
  <c r="O369" i="4"/>
  <c r="U372" i="5"/>
  <c r="P369" i="4"/>
  <c r="W372" i="5"/>
  <c r="Q369" i="4"/>
  <c r="X372" i="5"/>
  <c r="S369" i="4"/>
  <c r="AA372" i="5"/>
  <c r="T369" i="4"/>
  <c r="AC372" i="5"/>
  <c r="U369" i="4"/>
  <c r="AD372" i="5"/>
  <c r="X369" i="4"/>
  <c r="AI372" i="5"/>
  <c r="Y369" i="4"/>
  <c r="AJ372" i="5"/>
  <c r="Z369" i="4"/>
  <c r="AL372" i="5"/>
  <c r="F372" i="5"/>
  <c r="H372" i="5"/>
  <c r="I372" i="5"/>
  <c r="Z372" i="5"/>
  <c r="AN372" i="5"/>
  <c r="B370" i="4"/>
  <c r="K370" i="4"/>
  <c r="O373" i="5"/>
  <c r="H370" i="4"/>
  <c r="K373" i="5"/>
  <c r="W370" i="4"/>
  <c r="AG373" i="5"/>
  <c r="V370" i="4"/>
  <c r="AF373" i="5"/>
  <c r="C370" i="4"/>
  <c r="C373" i="5"/>
  <c r="D370" i="4"/>
  <c r="E373" i="5"/>
  <c r="I370" i="4"/>
  <c r="L373" i="5"/>
  <c r="J370" i="4"/>
  <c r="N373" i="5"/>
  <c r="L370" i="4"/>
  <c r="Q373" i="5"/>
  <c r="M370" i="4"/>
  <c r="R373" i="5"/>
  <c r="N370" i="4"/>
  <c r="T373" i="5"/>
  <c r="O370" i="4"/>
  <c r="U373" i="5"/>
  <c r="P370" i="4"/>
  <c r="W373" i="5"/>
  <c r="Q370" i="4"/>
  <c r="X373" i="5"/>
  <c r="S370" i="4"/>
  <c r="AA373" i="5"/>
  <c r="T370" i="4"/>
  <c r="AC373" i="5"/>
  <c r="U370" i="4"/>
  <c r="AD373" i="5"/>
  <c r="X370" i="4"/>
  <c r="AI373" i="5"/>
  <c r="Y370" i="4"/>
  <c r="AJ373" i="5"/>
  <c r="Z370" i="4"/>
  <c r="AL373" i="5"/>
  <c r="F373" i="5"/>
  <c r="H373" i="5"/>
  <c r="I373" i="5"/>
  <c r="Z373" i="5"/>
  <c r="AN373" i="5"/>
  <c r="B371" i="4"/>
  <c r="K371" i="4"/>
  <c r="O374" i="5"/>
  <c r="H371" i="4"/>
  <c r="K374" i="5"/>
  <c r="W371" i="4"/>
  <c r="AG374" i="5"/>
  <c r="V371" i="4"/>
  <c r="AF374" i="5"/>
  <c r="C371" i="4"/>
  <c r="C374" i="5"/>
  <c r="D371" i="4"/>
  <c r="E374" i="5"/>
  <c r="I371" i="4"/>
  <c r="L374" i="5"/>
  <c r="J371" i="4"/>
  <c r="N374" i="5"/>
  <c r="L371" i="4"/>
  <c r="Q374" i="5"/>
  <c r="M371" i="4"/>
  <c r="R374" i="5"/>
  <c r="N371" i="4"/>
  <c r="T374" i="5"/>
  <c r="O371" i="4"/>
  <c r="U374" i="5"/>
  <c r="P371" i="4"/>
  <c r="W374" i="5"/>
  <c r="Q371" i="4"/>
  <c r="X374" i="5"/>
  <c r="S371" i="4"/>
  <c r="AA374" i="5"/>
  <c r="T371" i="4"/>
  <c r="AC374" i="5"/>
  <c r="U371" i="4"/>
  <c r="AD374" i="5"/>
  <c r="X371" i="4"/>
  <c r="AI374" i="5"/>
  <c r="Y371" i="4"/>
  <c r="AJ374" i="5"/>
  <c r="Z371" i="4"/>
  <c r="AL374" i="5"/>
  <c r="F374" i="5"/>
  <c r="H374" i="5"/>
  <c r="I374" i="5"/>
  <c r="Z374" i="5"/>
  <c r="AN374" i="5"/>
  <c r="B378" i="4"/>
  <c r="K378" i="4"/>
  <c r="O375" i="5"/>
  <c r="H378" i="4"/>
  <c r="K375" i="5"/>
  <c r="W378" i="4"/>
  <c r="AG375" i="5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9" i="4"/>
  <c r="K379" i="4"/>
  <c r="O377" i="5"/>
  <c r="H379" i="4"/>
  <c r="K377" i="5"/>
  <c r="W379" i="4"/>
  <c r="AG377" i="5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F377" i="5"/>
  <c r="H377" i="5"/>
  <c r="I377" i="5"/>
  <c r="Z377" i="5"/>
  <c r="AN377" i="5"/>
  <c r="B385" i="4"/>
  <c r="K385" i="4"/>
  <c r="O378" i="5"/>
  <c r="H385" i="4"/>
  <c r="K378" i="5"/>
  <c r="W385" i="4"/>
  <c r="AG378" i="5"/>
  <c r="AF378" i="5"/>
  <c r="C385" i="4"/>
  <c r="C378" i="5"/>
  <c r="D385" i="4"/>
  <c r="E378" i="5"/>
  <c r="I385" i="4"/>
  <c r="L378" i="5"/>
  <c r="J385" i="4"/>
  <c r="N378" i="5"/>
  <c r="L385" i="4"/>
  <c r="Q378" i="5"/>
  <c r="M385" i="4"/>
  <c r="R378" i="5"/>
  <c r="N385" i="4"/>
  <c r="T378" i="5"/>
  <c r="O385" i="4"/>
  <c r="U378" i="5"/>
  <c r="P385" i="4"/>
  <c r="W378" i="5"/>
  <c r="Q385" i="4"/>
  <c r="X378" i="5"/>
  <c r="S385" i="4"/>
  <c r="AA378" i="5"/>
  <c r="T385" i="4"/>
  <c r="AC378" i="5"/>
  <c r="U385" i="4"/>
  <c r="AD378" i="5"/>
  <c r="X385" i="4"/>
  <c r="AI378" i="5"/>
  <c r="Y385" i="4"/>
  <c r="AJ378" i="5"/>
  <c r="Z385" i="4"/>
  <c r="AL378" i="5"/>
  <c r="F378" i="5"/>
  <c r="H378" i="5"/>
  <c r="I378" i="5"/>
  <c r="Z378" i="5"/>
  <c r="AN378" i="5"/>
  <c r="W380" i="4"/>
  <c r="AG379" i="5"/>
  <c r="AF379" i="5"/>
  <c r="C380" i="4"/>
  <c r="C379" i="5"/>
  <c r="N380" i="4"/>
  <c r="T379" i="5"/>
  <c r="O380" i="4"/>
  <c r="U379" i="5"/>
  <c r="P380" i="4"/>
  <c r="W379" i="5"/>
  <c r="Q380" i="4"/>
  <c r="X379" i="5"/>
  <c r="S380" i="4"/>
  <c r="AA379" i="5"/>
  <c r="T380" i="4"/>
  <c r="AC379" i="5"/>
  <c r="U380" i="4"/>
  <c r="AD379" i="5"/>
  <c r="X380" i="4"/>
  <c r="AI379" i="5"/>
  <c r="Y380" i="4"/>
  <c r="AJ379" i="5"/>
  <c r="Z380" i="4"/>
  <c r="AL379" i="5"/>
  <c r="F379" i="5"/>
  <c r="H379" i="5"/>
  <c r="I379" i="5"/>
  <c r="Z379" i="5"/>
  <c r="AN379" i="5"/>
  <c r="B375" i="4"/>
  <c r="K375" i="4"/>
  <c r="O380" i="5"/>
  <c r="H375" i="4"/>
  <c r="K380" i="5"/>
  <c r="W375" i="4"/>
  <c r="AG380" i="5"/>
  <c r="AF380" i="5"/>
  <c r="C375" i="4"/>
  <c r="C380" i="5"/>
  <c r="D375" i="4"/>
  <c r="E380" i="5"/>
  <c r="I375" i="4"/>
  <c r="L380" i="5"/>
  <c r="J375" i="4"/>
  <c r="N380" i="5"/>
  <c r="L375" i="4"/>
  <c r="Q380" i="5"/>
  <c r="M375" i="4"/>
  <c r="R380" i="5"/>
  <c r="N375" i="4"/>
  <c r="T380" i="5"/>
  <c r="O375" i="4"/>
  <c r="U380" i="5"/>
  <c r="P375" i="4"/>
  <c r="W380" i="5"/>
  <c r="Q375" i="4"/>
  <c r="X380" i="5"/>
  <c r="S375" i="4"/>
  <c r="AA380" i="5"/>
  <c r="T375" i="4"/>
  <c r="AC380" i="5"/>
  <c r="U375" i="4"/>
  <c r="AD380" i="5"/>
  <c r="X375" i="4"/>
  <c r="AI380" i="5"/>
  <c r="Y375" i="4"/>
  <c r="AJ380" i="5"/>
  <c r="Z375" i="4"/>
  <c r="AL380" i="5"/>
  <c r="F380" i="5"/>
  <c r="H380" i="5"/>
  <c r="I380" i="5"/>
  <c r="Z380" i="5"/>
  <c r="AN380" i="5"/>
  <c r="B386" i="4"/>
  <c r="K386" i="4"/>
  <c r="O381" i="5"/>
  <c r="H386" i="4"/>
  <c r="K381" i="5"/>
  <c r="W386" i="4"/>
  <c r="AG381" i="5"/>
  <c r="AF381" i="5"/>
  <c r="C386" i="4"/>
  <c r="C381" i="5"/>
  <c r="D386" i="4"/>
  <c r="E381" i="5"/>
  <c r="I386" i="4"/>
  <c r="L381" i="5"/>
  <c r="J386" i="4"/>
  <c r="N381" i="5"/>
  <c r="L386" i="4"/>
  <c r="Q381" i="5"/>
  <c r="M386" i="4"/>
  <c r="R381" i="5"/>
  <c r="N386" i="4"/>
  <c r="T381" i="5"/>
  <c r="O386" i="4"/>
  <c r="U381" i="5"/>
  <c r="P386" i="4"/>
  <c r="W381" i="5"/>
  <c r="Q386" i="4"/>
  <c r="X381" i="5"/>
  <c r="S386" i="4"/>
  <c r="AA381" i="5"/>
  <c r="T386" i="4"/>
  <c r="AC381" i="5"/>
  <c r="U386" i="4"/>
  <c r="AD381" i="5"/>
  <c r="X386" i="4"/>
  <c r="AI381" i="5"/>
  <c r="Y386" i="4"/>
  <c r="AJ381" i="5"/>
  <c r="Z386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87" i="4"/>
  <c r="K387" i="4"/>
  <c r="O383" i="5"/>
  <c r="H387" i="4"/>
  <c r="K383" i="5"/>
  <c r="W387" i="4"/>
  <c r="AG383" i="5"/>
  <c r="AF383" i="5"/>
  <c r="C387" i="4"/>
  <c r="C383" i="5"/>
  <c r="D387" i="4"/>
  <c r="E383" i="5"/>
  <c r="I387" i="4"/>
  <c r="L383" i="5"/>
  <c r="J387" i="4"/>
  <c r="N383" i="5"/>
  <c r="L387" i="4"/>
  <c r="Q383" i="5"/>
  <c r="M387" i="4"/>
  <c r="R383" i="5"/>
  <c r="N387" i="4"/>
  <c r="T383" i="5"/>
  <c r="O387" i="4"/>
  <c r="U383" i="5"/>
  <c r="P387" i="4"/>
  <c r="W383" i="5"/>
  <c r="Q387" i="4"/>
  <c r="X383" i="5"/>
  <c r="S387" i="4"/>
  <c r="AA383" i="5"/>
  <c r="T387" i="4"/>
  <c r="AC383" i="5"/>
  <c r="U387" i="4"/>
  <c r="AD383" i="5"/>
  <c r="X387" i="4"/>
  <c r="AI383" i="5"/>
  <c r="Y387" i="4"/>
  <c r="AJ383" i="5"/>
  <c r="Z387" i="4"/>
  <c r="AL383" i="5"/>
  <c r="F383" i="5"/>
  <c r="H383" i="5"/>
  <c r="I383" i="5"/>
  <c r="Z383" i="5"/>
  <c r="AN383" i="5"/>
  <c r="B377" i="4"/>
  <c r="K377" i="4"/>
  <c r="O384" i="5"/>
  <c r="H377" i="4"/>
  <c r="K384" i="5"/>
  <c r="W377" i="4"/>
  <c r="AG384" i="5"/>
  <c r="AF384" i="5"/>
  <c r="C377" i="4"/>
  <c r="C384" i="5"/>
  <c r="D377" i="4"/>
  <c r="E384" i="5"/>
  <c r="I377" i="4"/>
  <c r="L384" i="5"/>
  <c r="J377" i="4"/>
  <c r="N384" i="5"/>
  <c r="L377" i="4"/>
  <c r="Q384" i="5"/>
  <c r="M377" i="4"/>
  <c r="R384" i="5"/>
  <c r="N377" i="4"/>
  <c r="T384" i="5"/>
  <c r="O377" i="4"/>
  <c r="U384" i="5"/>
  <c r="P377" i="4"/>
  <c r="W384" i="5"/>
  <c r="Q377" i="4"/>
  <c r="X384" i="5"/>
  <c r="S377" i="4"/>
  <c r="AA384" i="5"/>
  <c r="T377" i="4"/>
  <c r="AC384" i="5"/>
  <c r="U377" i="4"/>
  <c r="AD384" i="5"/>
  <c r="X377" i="4"/>
  <c r="AI384" i="5"/>
  <c r="Y377" i="4"/>
  <c r="AJ384" i="5"/>
  <c r="Z377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8" i="5"/>
  <c r="B392" i="4"/>
  <c r="P392" i="4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B389" i="4"/>
  <c r="C389" i="4"/>
  <c r="C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W392" i="5"/>
  <c r="O392" i="5"/>
  <c r="K392" i="5"/>
  <c r="AG392" i="5"/>
  <c r="AF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B405" i="4"/>
  <c r="P405" i="4"/>
  <c r="W393" i="5"/>
  <c r="O393" i="5"/>
  <c r="K393" i="5"/>
  <c r="AG393" i="5"/>
  <c r="AF393" i="5"/>
  <c r="C393" i="5"/>
  <c r="L393" i="5"/>
  <c r="N393" i="5"/>
  <c r="L405" i="4"/>
  <c r="Q393" i="5"/>
  <c r="U393" i="5"/>
  <c r="Q405" i="4"/>
  <c r="X393" i="5"/>
  <c r="R405" i="4"/>
  <c r="Z393" i="5"/>
  <c r="AC393" i="5"/>
  <c r="AD393" i="5"/>
  <c r="X405" i="4"/>
  <c r="AI393" i="5"/>
  <c r="Y405" i="4"/>
  <c r="AJ393" i="5"/>
  <c r="AL393" i="5"/>
  <c r="F393" i="5"/>
  <c r="E393" i="5"/>
  <c r="H393" i="5"/>
  <c r="I393" i="5"/>
  <c r="R393" i="5"/>
  <c r="T393" i="5"/>
  <c r="AN393" i="5"/>
  <c r="AA394" i="5"/>
  <c r="B406" i="4"/>
  <c r="P406" i="4"/>
  <c r="W394" i="5"/>
  <c r="O394" i="5"/>
  <c r="K394" i="5"/>
  <c r="AG394" i="5"/>
  <c r="AF394" i="5"/>
  <c r="C394" i="5"/>
  <c r="L394" i="5"/>
  <c r="N394" i="5"/>
  <c r="L406" i="4"/>
  <c r="Q394" i="5"/>
  <c r="U394" i="5"/>
  <c r="Q406" i="4"/>
  <c r="X394" i="5"/>
  <c r="R406" i="4"/>
  <c r="Z394" i="5"/>
  <c r="AC394" i="5"/>
  <c r="AD394" i="5"/>
  <c r="X406" i="4"/>
  <c r="AI394" i="5"/>
  <c r="Y406" i="4"/>
  <c r="AJ394" i="5"/>
  <c r="AL394" i="5"/>
  <c r="F394" i="5"/>
  <c r="E394" i="5"/>
  <c r="H394" i="5"/>
  <c r="I394" i="5"/>
  <c r="R394" i="5"/>
  <c r="T394" i="5"/>
  <c r="AN394" i="5"/>
  <c r="AA395" i="5"/>
  <c r="B407" i="4"/>
  <c r="P407" i="4"/>
  <c r="W395" i="5"/>
  <c r="O395" i="5"/>
  <c r="K395" i="5"/>
  <c r="AG395" i="5"/>
  <c r="AF395" i="5"/>
  <c r="C395" i="5"/>
  <c r="L395" i="5"/>
  <c r="N395" i="5"/>
  <c r="L407" i="4"/>
  <c r="Q395" i="5"/>
  <c r="U395" i="5"/>
  <c r="Q407" i="4"/>
  <c r="X395" i="5"/>
  <c r="R407" i="4"/>
  <c r="Z395" i="5"/>
  <c r="AC395" i="5"/>
  <c r="AD395" i="5"/>
  <c r="X407" i="4"/>
  <c r="AI395" i="5"/>
  <c r="Y407" i="4"/>
  <c r="AJ395" i="5"/>
  <c r="AL395" i="5"/>
  <c r="F395" i="5"/>
  <c r="E395" i="5"/>
  <c r="H395" i="5"/>
  <c r="I395" i="5"/>
  <c r="R395" i="5"/>
  <c r="T395" i="5"/>
  <c r="AN395" i="5"/>
  <c r="AA396" i="5"/>
  <c r="B393" i="4"/>
  <c r="P393" i="4"/>
  <c r="W396" i="5"/>
  <c r="O396" i="5"/>
  <c r="K396" i="5"/>
  <c r="AG396" i="5"/>
  <c r="AF396" i="5"/>
  <c r="C396" i="5"/>
  <c r="L396" i="5"/>
  <c r="N396" i="5"/>
  <c r="L393" i="4"/>
  <c r="Q396" i="5"/>
  <c r="U396" i="5"/>
  <c r="Q393" i="4"/>
  <c r="X396" i="5"/>
  <c r="R393" i="4"/>
  <c r="Z396" i="5"/>
  <c r="AC396" i="5"/>
  <c r="AD396" i="5"/>
  <c r="X393" i="4"/>
  <c r="AI396" i="5"/>
  <c r="Y393" i="4"/>
  <c r="AJ396" i="5"/>
  <c r="F396" i="5"/>
  <c r="E396" i="5"/>
  <c r="H396" i="5"/>
  <c r="I396" i="5"/>
  <c r="R396" i="5"/>
  <c r="T396" i="5"/>
  <c r="AN396" i="5"/>
  <c r="AA397" i="5"/>
  <c r="B396" i="4"/>
  <c r="P396" i="4"/>
  <c r="W397" i="5"/>
  <c r="O397" i="5"/>
  <c r="K397" i="5"/>
  <c r="AG397" i="5"/>
  <c r="AF397" i="5"/>
  <c r="C397" i="5"/>
  <c r="L397" i="5"/>
  <c r="N397" i="5"/>
  <c r="L396" i="4"/>
  <c r="Q397" i="5"/>
  <c r="U397" i="5"/>
  <c r="Q396" i="4"/>
  <c r="X397" i="5"/>
  <c r="R396" i="4"/>
  <c r="Z397" i="5"/>
  <c r="AC397" i="5"/>
  <c r="AD397" i="5"/>
  <c r="X396" i="4"/>
  <c r="AI397" i="5"/>
  <c r="Y396" i="4"/>
  <c r="AJ397" i="5"/>
  <c r="AL397" i="5"/>
  <c r="F397" i="5"/>
  <c r="E397" i="5"/>
  <c r="H397" i="5"/>
  <c r="I397" i="5"/>
  <c r="R397" i="5"/>
  <c r="T397" i="5"/>
  <c r="AN397" i="5"/>
  <c r="AA398" i="5"/>
  <c r="B397" i="4"/>
  <c r="P397" i="4"/>
  <c r="W398" i="5"/>
  <c r="O398" i="5"/>
  <c r="K398" i="5"/>
  <c r="AG398" i="5"/>
  <c r="AF398" i="5"/>
  <c r="C398" i="5"/>
  <c r="L398" i="5"/>
  <c r="N398" i="5"/>
  <c r="L397" i="4"/>
  <c r="Q398" i="5"/>
  <c r="U398" i="5"/>
  <c r="Q397" i="4"/>
  <c r="X398" i="5"/>
  <c r="R397" i="4"/>
  <c r="Z398" i="5"/>
  <c r="AC398" i="5"/>
  <c r="AD398" i="5"/>
  <c r="X397" i="4"/>
  <c r="AI398" i="5"/>
  <c r="Y397" i="4"/>
  <c r="AJ398" i="5"/>
  <c r="AL398" i="5"/>
  <c r="F398" i="5"/>
  <c r="E398" i="5"/>
  <c r="H398" i="5"/>
  <c r="I398" i="5"/>
  <c r="R398" i="5"/>
  <c r="T398" i="5"/>
  <c r="AN398" i="5"/>
  <c r="AA399" i="5"/>
  <c r="B398" i="4"/>
  <c r="P398" i="4"/>
  <c r="W399" i="5"/>
  <c r="O399" i="5"/>
  <c r="K399" i="5"/>
  <c r="AG399" i="5"/>
  <c r="AF399" i="5"/>
  <c r="C399" i="5"/>
  <c r="L399" i="5"/>
  <c r="N399" i="5"/>
  <c r="L398" i="4"/>
  <c r="Q399" i="5"/>
  <c r="U399" i="5"/>
  <c r="Q398" i="4"/>
  <c r="X399" i="5"/>
  <c r="R398" i="4"/>
  <c r="Z399" i="5"/>
  <c r="AC399" i="5"/>
  <c r="AD399" i="5"/>
  <c r="X398" i="4"/>
  <c r="AI399" i="5"/>
  <c r="Y398" i="4"/>
  <c r="AJ399" i="5"/>
  <c r="AL399" i="5"/>
  <c r="F399" i="5"/>
  <c r="E399" i="5"/>
  <c r="H399" i="5"/>
  <c r="I399" i="5"/>
  <c r="R399" i="5"/>
  <c r="T399" i="5"/>
  <c r="AN399" i="5"/>
  <c r="AA400" i="5"/>
  <c r="B399" i="4"/>
  <c r="P399" i="4"/>
  <c r="W400" i="5"/>
  <c r="O400" i="5"/>
  <c r="K400" i="5"/>
  <c r="AG400" i="5"/>
  <c r="AF400" i="5"/>
  <c r="C400" i="5"/>
  <c r="L400" i="5"/>
  <c r="N400" i="5"/>
  <c r="L399" i="4"/>
  <c r="Q400" i="5"/>
  <c r="U400" i="5"/>
  <c r="Q399" i="4"/>
  <c r="X400" i="5"/>
  <c r="R399" i="4"/>
  <c r="Z400" i="5"/>
  <c r="AC400" i="5"/>
  <c r="AD400" i="5"/>
  <c r="X399" i="4"/>
  <c r="AI400" i="5"/>
  <c r="Y399" i="4"/>
  <c r="AJ400" i="5"/>
  <c r="AL400" i="5"/>
  <c r="F400" i="5"/>
  <c r="E400" i="5"/>
  <c r="H400" i="5"/>
  <c r="I400" i="5"/>
  <c r="R400" i="5"/>
  <c r="T400" i="5"/>
  <c r="AN400" i="5"/>
  <c r="AA401" i="5"/>
  <c r="B417" i="4"/>
  <c r="P417" i="4"/>
  <c r="W401" i="5"/>
  <c r="O401" i="5"/>
  <c r="K401" i="5"/>
  <c r="AG401" i="5"/>
  <c r="AF401" i="5"/>
  <c r="C401" i="5"/>
  <c r="L401" i="5"/>
  <c r="N401" i="5"/>
  <c r="L417" i="4"/>
  <c r="Q401" i="5"/>
  <c r="U401" i="5"/>
  <c r="Q417" i="4"/>
  <c r="X401" i="5"/>
  <c r="R417" i="4"/>
  <c r="Z401" i="5"/>
  <c r="AC401" i="5"/>
  <c r="AD401" i="5"/>
  <c r="X417" i="4"/>
  <c r="AI401" i="5"/>
  <c r="Y41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409" i="4"/>
  <c r="P409" i="4"/>
  <c r="W403" i="5"/>
  <c r="O403" i="5"/>
  <c r="K403" i="5"/>
  <c r="AG403" i="5"/>
  <c r="AF403" i="5"/>
  <c r="C403" i="5"/>
  <c r="L403" i="5"/>
  <c r="N403" i="5"/>
  <c r="L409" i="4"/>
  <c r="Q403" i="5"/>
  <c r="U403" i="5"/>
  <c r="Q409" i="4"/>
  <c r="X403" i="5"/>
  <c r="R409" i="4"/>
  <c r="Z403" i="5"/>
  <c r="AC403" i="5"/>
  <c r="AD403" i="5"/>
  <c r="X409" i="4"/>
  <c r="AI403" i="5"/>
  <c r="Y409" i="4"/>
  <c r="AJ403" i="5"/>
  <c r="AL403" i="5"/>
  <c r="F403" i="5"/>
  <c r="E403" i="5"/>
  <c r="H403" i="5"/>
  <c r="I403" i="5"/>
  <c r="R403" i="5"/>
  <c r="T403" i="5"/>
  <c r="AN403" i="5"/>
  <c r="AA404" i="5"/>
  <c r="B410" i="4"/>
  <c r="P410" i="4"/>
  <c r="W404" i="5"/>
  <c r="O404" i="5"/>
  <c r="K404" i="5"/>
  <c r="AG404" i="5"/>
  <c r="AF404" i="5"/>
  <c r="C404" i="5"/>
  <c r="L404" i="5"/>
  <c r="N404" i="5"/>
  <c r="L410" i="4"/>
  <c r="Q404" i="5"/>
  <c r="U404" i="5"/>
  <c r="Q410" i="4"/>
  <c r="X404" i="5"/>
  <c r="R410" i="4"/>
  <c r="Z404" i="5"/>
  <c r="AC404" i="5"/>
  <c r="AD404" i="5"/>
  <c r="X410" i="4"/>
  <c r="AI404" i="5"/>
  <c r="Y410" i="4"/>
  <c r="AJ404" i="5"/>
  <c r="AL404" i="5"/>
  <c r="F404" i="5"/>
  <c r="E404" i="5"/>
  <c r="H404" i="5"/>
  <c r="I404" i="5"/>
  <c r="R404" i="5"/>
  <c r="T404" i="5"/>
  <c r="AN404" i="5"/>
  <c r="AA405" i="5"/>
  <c r="B411" i="4"/>
  <c r="P411" i="4"/>
  <c r="W405" i="5"/>
  <c r="O405" i="5"/>
  <c r="K405" i="5"/>
  <c r="AG405" i="5"/>
  <c r="AF405" i="5"/>
  <c r="C405" i="5"/>
  <c r="L405" i="5"/>
  <c r="N405" i="5"/>
  <c r="L411" i="4"/>
  <c r="Q405" i="5"/>
  <c r="U405" i="5"/>
  <c r="Q411" i="4"/>
  <c r="X405" i="5"/>
  <c r="R411" i="4"/>
  <c r="Z405" i="5"/>
  <c r="AC405" i="5"/>
  <c r="AD405" i="5"/>
  <c r="X411" i="4"/>
  <c r="AI405" i="5"/>
  <c r="Y411" i="4"/>
  <c r="AJ405" i="5"/>
  <c r="AL405" i="5"/>
  <c r="F405" i="5"/>
  <c r="E405" i="5"/>
  <c r="H405" i="5"/>
  <c r="I405" i="5"/>
  <c r="R405" i="5"/>
  <c r="T405" i="5"/>
  <c r="AN405" i="5"/>
  <c r="AA406" i="5"/>
  <c r="B400" i="4"/>
  <c r="P400" i="4"/>
  <c r="W406" i="5"/>
  <c r="O406" i="5"/>
  <c r="K406" i="5"/>
  <c r="AG406" i="5"/>
  <c r="AF406" i="5"/>
  <c r="C406" i="5"/>
  <c r="L406" i="5"/>
  <c r="N406" i="5"/>
  <c r="L400" i="4"/>
  <c r="Q406" i="5"/>
  <c r="U406" i="5"/>
  <c r="Q400" i="4"/>
  <c r="X406" i="5"/>
  <c r="R400" i="4"/>
  <c r="Z406" i="5"/>
  <c r="AC406" i="5"/>
  <c r="AD406" i="5"/>
  <c r="X400" i="4"/>
  <c r="AI406" i="5"/>
  <c r="Y400" i="4"/>
  <c r="AJ406" i="5"/>
  <c r="AL406" i="5"/>
  <c r="F406" i="5"/>
  <c r="E406" i="5"/>
  <c r="H406" i="5"/>
  <c r="I406" i="5"/>
  <c r="R406" i="5"/>
  <c r="T406" i="5"/>
  <c r="AN406" i="5"/>
  <c r="AA407" i="5"/>
  <c r="B401" i="4"/>
  <c r="P401" i="4"/>
  <c r="W407" i="5"/>
  <c r="O407" i="5"/>
  <c r="K407" i="5"/>
  <c r="AG407" i="5"/>
  <c r="AF407" i="5"/>
  <c r="C407" i="5"/>
  <c r="L407" i="5"/>
  <c r="N407" i="5"/>
  <c r="L401" i="4"/>
  <c r="Q407" i="5"/>
  <c r="U407" i="5"/>
  <c r="Q401" i="4"/>
  <c r="X407" i="5"/>
  <c r="R401" i="4"/>
  <c r="Z407" i="5"/>
  <c r="AC407" i="5"/>
  <c r="AD407" i="5"/>
  <c r="X401" i="4"/>
  <c r="AI407" i="5"/>
  <c r="Y401" i="4"/>
  <c r="AJ407" i="5"/>
  <c r="AL407" i="5"/>
  <c r="F407" i="5"/>
  <c r="E407" i="5"/>
  <c r="H407" i="5"/>
  <c r="I407" i="5"/>
  <c r="R407" i="5"/>
  <c r="T407" i="5"/>
  <c r="AN407" i="5"/>
  <c r="AA408" i="5"/>
  <c r="B402" i="4"/>
  <c r="P402" i="4"/>
  <c r="W408" i="5"/>
  <c r="O408" i="5"/>
  <c r="K408" i="5"/>
  <c r="AG408" i="5"/>
  <c r="AF408" i="5"/>
  <c r="C408" i="5"/>
  <c r="L408" i="5"/>
  <c r="N408" i="5"/>
  <c r="L402" i="4"/>
  <c r="Q408" i="5"/>
  <c r="U408" i="5"/>
  <c r="Q402" i="4"/>
  <c r="X408" i="5"/>
  <c r="R402" i="4"/>
  <c r="Z408" i="5"/>
  <c r="AC408" i="5"/>
  <c r="AD408" i="5"/>
  <c r="X402" i="4"/>
  <c r="AI408" i="5"/>
  <c r="Y402" i="4"/>
  <c r="AJ408" i="5"/>
  <c r="AL408" i="5"/>
  <c r="F408" i="5"/>
  <c r="E408" i="5"/>
  <c r="H408" i="5"/>
  <c r="I408" i="5"/>
  <c r="R408" i="5"/>
  <c r="T408" i="5"/>
  <c r="AN408" i="5"/>
  <c r="AA409" i="5"/>
  <c r="B403" i="4"/>
  <c r="P403" i="4"/>
  <c r="W409" i="5"/>
  <c r="O409" i="5"/>
  <c r="K409" i="5"/>
  <c r="AG409" i="5"/>
  <c r="AF409" i="5"/>
  <c r="C409" i="5"/>
  <c r="L409" i="5"/>
  <c r="N409" i="5"/>
  <c r="L403" i="4"/>
  <c r="Q409" i="5"/>
  <c r="U409" i="5"/>
  <c r="Q403" i="4"/>
  <c r="X409" i="5"/>
  <c r="R403" i="4"/>
  <c r="Z409" i="5"/>
  <c r="AC409" i="5"/>
  <c r="AD409" i="5"/>
  <c r="X403" i="4"/>
  <c r="AI409" i="5"/>
  <c r="Y403" i="4"/>
  <c r="AJ409" i="5"/>
  <c r="AL409" i="5"/>
  <c r="F409" i="5"/>
  <c r="E409" i="5"/>
  <c r="H409" i="5"/>
  <c r="I409" i="5"/>
  <c r="R409" i="5"/>
  <c r="T409" i="5"/>
  <c r="AN409" i="5"/>
  <c r="AA410" i="5"/>
  <c r="B412" i="4"/>
  <c r="P412" i="4"/>
  <c r="W410" i="5"/>
  <c r="O410" i="5"/>
  <c r="K410" i="5"/>
  <c r="AG410" i="5"/>
  <c r="AF410" i="5"/>
  <c r="C410" i="5"/>
  <c r="L410" i="5"/>
  <c r="N410" i="5"/>
  <c r="L412" i="4"/>
  <c r="Q410" i="5"/>
  <c r="U410" i="5"/>
  <c r="Q412" i="4"/>
  <c r="X410" i="5"/>
  <c r="R412" i="4"/>
  <c r="Z410" i="5"/>
  <c r="AC410" i="5"/>
  <c r="AD410" i="5"/>
  <c r="X412" i="4"/>
  <c r="AI410" i="5"/>
  <c r="Y412" i="4"/>
  <c r="AJ410" i="5"/>
  <c r="AL410" i="5"/>
  <c r="F410" i="5"/>
  <c r="E410" i="5"/>
  <c r="H410" i="5"/>
  <c r="I410" i="5"/>
  <c r="R410" i="5"/>
  <c r="T410" i="5"/>
  <c r="AN410" i="5"/>
  <c r="AA411" i="5"/>
  <c r="B394" i="4"/>
  <c r="P394" i="4"/>
  <c r="W411" i="5"/>
  <c r="O411" i="5"/>
  <c r="K411" i="5"/>
  <c r="AG411" i="5"/>
  <c r="AF411" i="5"/>
  <c r="C411" i="5"/>
  <c r="L411" i="5"/>
  <c r="N411" i="5"/>
  <c r="L394" i="4"/>
  <c r="Q411" i="5"/>
  <c r="U411" i="5"/>
  <c r="Q394" i="4"/>
  <c r="X411" i="5"/>
  <c r="R394" i="4"/>
  <c r="Z411" i="5"/>
  <c r="AC411" i="5"/>
  <c r="AD411" i="5"/>
  <c r="X394" i="4"/>
  <c r="AI411" i="5"/>
  <c r="Y394" i="4"/>
  <c r="AJ411" i="5"/>
  <c r="AL411" i="5"/>
  <c r="F411" i="5"/>
  <c r="E411" i="5"/>
  <c r="H411" i="5"/>
  <c r="I411" i="5"/>
  <c r="R411" i="5"/>
  <c r="T411" i="5"/>
  <c r="AN411" i="5"/>
  <c r="AA412" i="5"/>
  <c r="B413" i="4"/>
  <c r="P413" i="4"/>
  <c r="W412" i="5"/>
  <c r="O412" i="5"/>
  <c r="K412" i="5"/>
  <c r="AG412" i="5"/>
  <c r="AF412" i="5"/>
  <c r="C412" i="5"/>
  <c r="L412" i="5"/>
  <c r="N412" i="5"/>
  <c r="L413" i="4"/>
  <c r="Q412" i="5"/>
  <c r="U412" i="5"/>
  <c r="Q413" i="4"/>
  <c r="X412" i="5"/>
  <c r="R413" i="4"/>
  <c r="Z412" i="5"/>
  <c r="AC412" i="5"/>
  <c r="AD412" i="5"/>
  <c r="X413" i="4"/>
  <c r="AI412" i="5"/>
  <c r="Y413" i="4"/>
  <c r="AJ412" i="5"/>
  <c r="AL412" i="5"/>
  <c r="F412" i="5"/>
  <c r="E412" i="5"/>
  <c r="H412" i="5"/>
  <c r="I412" i="5"/>
  <c r="R412" i="5"/>
  <c r="T412" i="5"/>
  <c r="AN412" i="5"/>
  <c r="AA413" i="5"/>
  <c r="B404" i="4"/>
  <c r="P404" i="4"/>
  <c r="W413" i="5"/>
  <c r="O413" i="5"/>
  <c r="K413" i="5"/>
  <c r="AG413" i="5"/>
  <c r="AF413" i="5"/>
  <c r="C413" i="5"/>
  <c r="L413" i="5"/>
  <c r="N413" i="5"/>
  <c r="L404" i="4"/>
  <c r="Q413" i="5"/>
  <c r="U413" i="5"/>
  <c r="Q404" i="4"/>
  <c r="X413" i="5"/>
  <c r="R404" i="4"/>
  <c r="Z413" i="5"/>
  <c r="AC413" i="5"/>
  <c r="AD413" i="5"/>
  <c r="X404" i="4"/>
  <c r="AI413" i="5"/>
  <c r="Y404" i="4"/>
  <c r="AJ413" i="5"/>
  <c r="AL413" i="5"/>
  <c r="F413" i="5"/>
  <c r="E413" i="5"/>
  <c r="H413" i="5"/>
  <c r="I413" i="5"/>
  <c r="R413" i="5"/>
  <c r="T413" i="5"/>
  <c r="AN413" i="5"/>
  <c r="AA414" i="5"/>
  <c r="B395" i="4"/>
  <c r="P395" i="4"/>
  <c r="W414" i="5"/>
  <c r="O414" i="5"/>
  <c r="K414" i="5"/>
  <c r="AG414" i="5"/>
  <c r="AF414" i="5"/>
  <c r="C414" i="5"/>
  <c r="L414" i="5"/>
  <c r="N414" i="5"/>
  <c r="L395" i="4"/>
  <c r="Q414" i="5"/>
  <c r="U414" i="5"/>
  <c r="Q395" i="4"/>
  <c r="X414" i="5"/>
  <c r="R395" i="4"/>
  <c r="Z414" i="5"/>
  <c r="AC414" i="5"/>
  <c r="AD414" i="5"/>
  <c r="X395" i="4"/>
  <c r="AI414" i="5"/>
  <c r="Y395" i="4"/>
  <c r="AJ414" i="5"/>
  <c r="AL414" i="5"/>
  <c r="F414" i="5"/>
  <c r="E414" i="5"/>
  <c r="H414" i="5"/>
  <c r="I414" i="5"/>
  <c r="R414" i="5"/>
  <c r="T414" i="5"/>
  <c r="AN414" i="5"/>
  <c r="AA415" i="5"/>
  <c r="B414" i="4"/>
  <c r="P414" i="4"/>
  <c r="W415" i="5"/>
  <c r="O415" i="5"/>
  <c r="K415" i="5"/>
  <c r="AG415" i="5"/>
  <c r="AF415" i="5"/>
  <c r="C415" i="5"/>
  <c r="L415" i="5"/>
  <c r="N415" i="5"/>
  <c r="L414" i="4"/>
  <c r="Q415" i="5"/>
  <c r="U415" i="5"/>
  <c r="Q414" i="4"/>
  <c r="X415" i="5"/>
  <c r="R414" i="4"/>
  <c r="Z415" i="5"/>
  <c r="AC415" i="5"/>
  <c r="AD415" i="5"/>
  <c r="X414" i="4"/>
  <c r="AI415" i="5"/>
  <c r="Y414" i="4"/>
  <c r="AJ415" i="5"/>
  <c r="AL415" i="5"/>
  <c r="F415" i="5"/>
  <c r="E415" i="5"/>
  <c r="H415" i="5"/>
  <c r="I415" i="5"/>
  <c r="R415" i="5"/>
  <c r="T415" i="5"/>
  <c r="AN415" i="5"/>
  <c r="AA416" i="5"/>
  <c r="B415" i="4"/>
  <c r="P415" i="4"/>
  <c r="W416" i="5"/>
  <c r="O416" i="5"/>
  <c r="K416" i="5"/>
  <c r="AG416" i="5"/>
  <c r="AF416" i="5"/>
  <c r="C416" i="5"/>
  <c r="L416" i="5"/>
  <c r="N416" i="5"/>
  <c r="L415" i="4"/>
  <c r="Q416" i="5"/>
  <c r="U416" i="5"/>
  <c r="Q415" i="4"/>
  <c r="X416" i="5"/>
  <c r="R415" i="4"/>
  <c r="Z416" i="5"/>
  <c r="AC416" i="5"/>
  <c r="AD416" i="5"/>
  <c r="X415" i="4"/>
  <c r="AI416" i="5"/>
  <c r="Y415" i="4"/>
  <c r="AJ416" i="5"/>
  <c r="AL416" i="5"/>
  <c r="F416" i="5"/>
  <c r="E416" i="5"/>
  <c r="H416" i="5"/>
  <c r="I416" i="5"/>
  <c r="R416" i="5"/>
  <c r="T416" i="5"/>
  <c r="AN416" i="5"/>
  <c r="AA417" i="5"/>
  <c r="B416" i="4"/>
  <c r="P416" i="4"/>
  <c r="W417" i="5"/>
  <c r="O417" i="5"/>
  <c r="K417" i="5"/>
  <c r="AG417" i="5"/>
  <c r="AF417" i="5"/>
  <c r="C417" i="5"/>
  <c r="L417" i="5"/>
  <c r="N417" i="5"/>
  <c r="L416" i="4"/>
  <c r="Q417" i="5"/>
  <c r="U417" i="5"/>
  <c r="Q416" i="4"/>
  <c r="X417" i="5"/>
  <c r="R416" i="4"/>
  <c r="Z417" i="5"/>
  <c r="AC417" i="5"/>
  <c r="AD417" i="5"/>
  <c r="X416" i="4"/>
  <c r="AI417" i="5"/>
  <c r="Y416" i="4"/>
  <c r="AJ417" i="5"/>
  <c r="AL417" i="5"/>
  <c r="F417" i="5"/>
  <c r="E417" i="5"/>
  <c r="H417" i="5"/>
  <c r="I417" i="5"/>
  <c r="R417" i="5"/>
  <c r="T417" i="5"/>
  <c r="AN417" i="5"/>
  <c r="AG2" i="5"/>
  <c r="AF2" i="5"/>
  <c r="B139" i="4"/>
  <c r="C139" i="4"/>
  <c r="C2" i="5"/>
  <c r="D139" i="4"/>
  <c r="E2" i="5"/>
  <c r="K2" i="5"/>
  <c r="L139" i="4"/>
  <c r="Q2" i="5"/>
  <c r="M139" i="4"/>
  <c r="T2" i="5"/>
  <c r="U2" i="5"/>
  <c r="P139" i="4"/>
  <c r="W2" i="5"/>
  <c r="Q139" i="4"/>
  <c r="X2" i="5"/>
  <c r="S139" i="4"/>
  <c r="AA2" i="5"/>
  <c r="AI139" i="4"/>
  <c r="T139" i="4" a="1"/>
  <c r="T139" i="4"/>
  <c r="AC2" i="5"/>
  <c r="U139" i="4" a="1"/>
  <c r="U139" i="4"/>
  <c r="AD2" i="5"/>
  <c r="X139" i="4"/>
  <c r="AI2" i="5"/>
  <c r="Y139" i="4"/>
  <c r="AJ2" i="5"/>
  <c r="Z139" i="4"/>
  <c r="AL2" i="5"/>
  <c r="F2" i="5"/>
  <c r="L2" i="5"/>
  <c r="N2" i="5"/>
  <c r="O2" i="5"/>
  <c r="H2" i="5"/>
  <c r="I2" i="5"/>
  <c r="Z2" i="5"/>
  <c r="AN2" i="5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BB25" i="1"/>
  <c r="AZ25" i="1"/>
  <c r="BA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AZ189" i="1"/>
  <c r="BA189" i="1"/>
  <c r="BB189" i="1"/>
  <c r="CT189" i="1"/>
  <c r="AI308" i="4"/>
  <c r="AI313" i="4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BC464" i="1"/>
  <c r="CT464" i="1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G314" i="4"/>
  <c r="AH314" i="4"/>
  <c r="AI314" i="4"/>
  <c r="AJ314" i="4"/>
  <c r="AL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BC447" i="1"/>
  <c r="CT447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BC425" i="1"/>
  <c r="CT425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B15" i="3"/>
  <c r="C15" i="3"/>
  <c r="E15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H4" i="4"/>
  <c r="AH3" i="4"/>
  <c r="AH2" i="4"/>
  <c r="AH183" i="4"/>
  <c r="AH11" i="4"/>
  <c r="AH9" i="4"/>
  <c r="AH178" i="4"/>
  <c r="AH261" i="4"/>
  <c r="AH10" i="4"/>
  <c r="AH181" i="4"/>
  <c r="AH228" i="4"/>
  <c r="AH229" i="4"/>
  <c r="AH283" i="4"/>
  <c r="AH60" i="4"/>
  <c r="AH119" i="4"/>
  <c r="AH147" i="4"/>
  <c r="AH158" i="4"/>
  <c r="AH149" i="4"/>
  <c r="AH124" i="4"/>
  <c r="AH95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0" i="4"/>
  <c r="AH131" i="4"/>
  <c r="AH132" i="4"/>
  <c r="AH230" i="4"/>
  <c r="AH52" i="4"/>
  <c r="AH182" i="4"/>
  <c r="AH39" i="4"/>
  <c r="AH23" i="4"/>
  <c r="AH25" i="4"/>
  <c r="AH34" i="4"/>
  <c r="AH118" i="4"/>
  <c r="AH49" i="4"/>
  <c r="AH62" i="4"/>
  <c r="AH129" i="4"/>
  <c r="AH162" i="4"/>
  <c r="AH295" i="4"/>
  <c r="AH155" i="4"/>
  <c r="AH236" i="4"/>
  <c r="AH294" i="4"/>
  <c r="AH127" i="4"/>
  <c r="AH296" i="4"/>
  <c r="AH293" i="4"/>
  <c r="AH297" i="4"/>
  <c r="AH300" i="4"/>
  <c r="AH201" i="4"/>
  <c r="AH61" i="4"/>
  <c r="AH128" i="4"/>
  <c r="AH214" i="4"/>
  <c r="AH58" i="4"/>
  <c r="AH217" i="4"/>
  <c r="AH151" i="4"/>
  <c r="AH161" i="4"/>
  <c r="AH172" i="4"/>
  <c r="AH173" i="4"/>
  <c r="AH215" i="4"/>
  <c r="AH222" i="4"/>
  <c r="AH232" i="4"/>
  <c r="AH142" i="4"/>
  <c r="AH226" i="4"/>
  <c r="AH257" i="4"/>
  <c r="AH122" i="4"/>
  <c r="AH171" i="4"/>
  <c r="AH146" i="4"/>
  <c r="AH221" i="4"/>
  <c r="AH76" i="4"/>
  <c r="AH37" i="4"/>
  <c r="AH113" i="4"/>
  <c r="AH112" i="4"/>
  <c r="AH144" i="4"/>
  <c r="AH256" i="4"/>
  <c r="AH50" i="4"/>
  <c r="AH71" i="4"/>
  <c r="AH85" i="4"/>
  <c r="AH59" i="4"/>
  <c r="AH57" i="4"/>
  <c r="AH51" i="4"/>
  <c r="AH219" i="4"/>
  <c r="AH157" i="4"/>
  <c r="AH14" i="4"/>
  <c r="AH15" i="4"/>
  <c r="AH227" i="4"/>
  <c r="AH116" i="4"/>
  <c r="AH150" i="4"/>
  <c r="AH12" i="4"/>
  <c r="AH123" i="4"/>
  <c r="AH233" i="4"/>
  <c r="AH169" i="4"/>
  <c r="AH7" i="4"/>
  <c r="AH288" i="4"/>
  <c r="AH114" i="4"/>
  <c r="AH84" i="4"/>
  <c r="AH134" i="4"/>
  <c r="AH87" i="4"/>
  <c r="AH218" i="4"/>
  <c r="AH220" i="4"/>
  <c r="AH223" i="4"/>
  <c r="AH225" i="4"/>
  <c r="AH224" i="4"/>
  <c r="AH282" i="4"/>
  <c r="AH115" i="4"/>
  <c r="AH65" i="4"/>
  <c r="AH66" i="4"/>
  <c r="AH83" i="4"/>
  <c r="AH64" i="4"/>
  <c r="AH279" i="4"/>
  <c r="AH67" i="4"/>
  <c r="AH69" i="4"/>
  <c r="AH80" i="4"/>
  <c r="AH68" i="4"/>
  <c r="AH81" i="4"/>
  <c r="AH70" i="4"/>
  <c r="AH63" i="4"/>
  <c r="AH179" i="4"/>
  <c r="AH143" i="4"/>
  <c r="AH148" i="4"/>
  <c r="AH159" i="4"/>
  <c r="AH77" i="4"/>
  <c r="AH78" i="4"/>
  <c r="AH299" i="4"/>
  <c r="AH298" i="4"/>
  <c r="AH135" i="4"/>
  <c r="AH206" i="4"/>
  <c r="AH207" i="4"/>
  <c r="AH205" i="4"/>
  <c r="AH209" i="4"/>
  <c r="AH208" i="4"/>
  <c r="AH196" i="4"/>
  <c r="AH187" i="4"/>
  <c r="AH126" i="4"/>
  <c r="AH133" i="4"/>
  <c r="AH160" i="4"/>
  <c r="AH185" i="4"/>
  <c r="AH284" i="4"/>
  <c r="AH138" i="4"/>
  <c r="AH184" i="4"/>
  <c r="AH136" i="4"/>
  <c r="AH82" i="4"/>
  <c r="AH186" i="4"/>
  <c r="AH197" i="4"/>
  <c r="AH281" i="4"/>
  <c r="AH18" i="4"/>
  <c r="AH175" i="4"/>
  <c r="AH263" i="4"/>
  <c r="AH188" i="4"/>
  <c r="AH190" i="4"/>
  <c r="AH195" i="4"/>
  <c r="AH199" i="4"/>
  <c r="AH273" i="4"/>
  <c r="AH274" i="4"/>
  <c r="AH238" i="4"/>
  <c r="AH240" i="4"/>
  <c r="AH19" i="4"/>
  <c r="AH290" i="4"/>
  <c r="AH54" i="4"/>
  <c r="AH55" i="4"/>
  <c r="AH56" i="4"/>
  <c r="AH202" i="4"/>
  <c r="AH204" i="4"/>
  <c r="AH189" i="4"/>
  <c r="AH152" i="4"/>
  <c r="AH167" i="4"/>
  <c r="AH265" i="4"/>
  <c r="AH286" i="4"/>
  <c r="AH16" i="4"/>
  <c r="AH287" i="4"/>
  <c r="AH170" i="4"/>
  <c r="AH191" i="4"/>
  <c r="AH6" i="4"/>
  <c r="AH180" i="4"/>
  <c r="AH301" i="4"/>
  <c r="AH117" i="4"/>
  <c r="AH192" i="4"/>
  <c r="AH8" i="4"/>
  <c r="AH5" i="4"/>
  <c r="AH291" i="4"/>
  <c r="AH267" i="4"/>
  <c r="AH193" i="4"/>
  <c r="AH75" i="4"/>
  <c r="AH289" i="4"/>
  <c r="AH17" i="4"/>
  <c r="AH45" i="4"/>
  <c r="AH139" i="4"/>
  <c r="AH302" i="4"/>
  <c r="AH239" i="4"/>
  <c r="AH235" i="4"/>
  <c r="AH177" i="4"/>
  <c r="AH234" i="4"/>
  <c r="AH79" i="4"/>
  <c r="AH13" i="4"/>
  <c r="AH241" i="4"/>
  <c r="AH243" i="4"/>
  <c r="AH242" i="4"/>
  <c r="AH237" i="4"/>
  <c r="AH203" i="4"/>
  <c r="AH264" i="4"/>
  <c r="AH275" i="4"/>
  <c r="AH141" i="4"/>
  <c r="AH153" i="4"/>
  <c r="AH258" i="4"/>
  <c r="AH266" i="4"/>
  <c r="AH164" i="4"/>
  <c r="AH260" i="4"/>
  <c r="AH268" i="4"/>
  <c r="AH194" i="4"/>
  <c r="AH36" i="4"/>
  <c r="AH292" i="4"/>
  <c r="AH262" i="4"/>
  <c r="AH247" i="4"/>
  <c r="AH93" i="4"/>
  <c r="AH270" i="4"/>
  <c r="AH280" i="4"/>
  <c r="AH44" i="4"/>
  <c r="AH276" i="4"/>
  <c r="AH166" i="4"/>
  <c r="AH156" i="4"/>
  <c r="AH47" i="4"/>
  <c r="AH271" i="4"/>
  <c r="AH165" i="4"/>
  <c r="AH163" i="4"/>
  <c r="AH48" i="4"/>
  <c r="AH277" i="4"/>
  <c r="AH110" i="4"/>
  <c r="AH245" i="4"/>
  <c r="AH244" i="4"/>
  <c r="AH216" i="4"/>
  <c r="AH46" i="4"/>
  <c r="AH269" i="4"/>
  <c r="AH94" i="4"/>
  <c r="AH213" i="4"/>
  <c r="AH145" i="4"/>
  <c r="AH246" i="4"/>
  <c r="AH109" i="4"/>
  <c r="AH212" i="4"/>
  <c r="AH251" i="4"/>
  <c r="AH231" i="4"/>
  <c r="AH102" i="4"/>
  <c r="AH252" i="4"/>
  <c r="AH111" i="4"/>
  <c r="AH248" i="4"/>
  <c r="AH103" i="4"/>
  <c r="AH272" i="4"/>
  <c r="AH72" i="4"/>
  <c r="AH285" i="4"/>
  <c r="AH104" i="4"/>
  <c r="AH168" i="4"/>
  <c r="AH250" i="4"/>
  <c r="AH108" i="4"/>
  <c r="AH154" i="4"/>
  <c r="AH90" i="4"/>
  <c r="AH121" i="4"/>
  <c r="AH89" i="4"/>
  <c r="AH249" i="4"/>
  <c r="AH278" i="4"/>
  <c r="AH91" i="4"/>
  <c r="AH303" i="4"/>
  <c r="AH92" i="4"/>
  <c r="AH137" i="4"/>
  <c r="AH259" i="4"/>
  <c r="AH53" i="4"/>
  <c r="AH253" i="4"/>
  <c r="AH88" i="4"/>
  <c r="AH198" i="4"/>
  <c r="AH176" i="4"/>
  <c r="AH107" i="4"/>
  <c r="AH96" i="4"/>
  <c r="AH105" i="4"/>
  <c r="AH125" i="4"/>
  <c r="AH106" i="4"/>
  <c r="AH97" i="4"/>
  <c r="AH100" i="4"/>
  <c r="AH140" i="4"/>
  <c r="AH174" i="4"/>
  <c r="AH101" i="4"/>
  <c r="AH99" i="4"/>
  <c r="AH98" i="4"/>
  <c r="AH304" i="4"/>
  <c r="AH305" i="4"/>
  <c r="AH306" i="4"/>
  <c r="AH307" i="4"/>
  <c r="AH313" i="4"/>
  <c r="AH315" i="4"/>
  <c r="AH316" i="4"/>
  <c r="AH317" i="4"/>
  <c r="AH308" i="4"/>
  <c r="AH309" i="4"/>
  <c r="AH310" i="4"/>
  <c r="AH311" i="4"/>
  <c r="AH312" i="4"/>
  <c r="AH318" i="4"/>
  <c r="AH319" i="4"/>
  <c r="AH340" i="4"/>
  <c r="AH335" i="4"/>
  <c r="AH333" i="4"/>
  <c r="AH334" i="4"/>
  <c r="AH345" i="4"/>
  <c r="AH346" i="4"/>
  <c r="AH320" i="4"/>
  <c r="AH343" i="4"/>
  <c r="AH341" i="4"/>
  <c r="AH344" i="4"/>
  <c r="AH350" i="4"/>
  <c r="AH352" i="4"/>
  <c r="AH323" i="4"/>
  <c r="AH329" i="4"/>
  <c r="AH330" i="4"/>
  <c r="AH331" i="4"/>
  <c r="AH332" i="4"/>
  <c r="AH325" i="4"/>
  <c r="AH326" i="4"/>
  <c r="AH327" i="4"/>
  <c r="AH328" i="4"/>
  <c r="AH347" i="4"/>
  <c r="AH348" i="4"/>
  <c r="AH351" i="4"/>
  <c r="AH339" i="4"/>
  <c r="AH342" i="4"/>
  <c r="AH349" i="4"/>
  <c r="AH324" i="4"/>
  <c r="AH321" i="4"/>
  <c r="AH322" i="4"/>
  <c r="AH338" i="4"/>
  <c r="AH336" i="4"/>
  <c r="AH337" i="4"/>
  <c r="AH359" i="4"/>
  <c r="AH360" i="4"/>
  <c r="AH354" i="4"/>
  <c r="AH355" i="4"/>
  <c r="AH369" i="4"/>
  <c r="AH370" i="4"/>
  <c r="AH371" i="4"/>
  <c r="AH364" i="4"/>
  <c r="AH353" i="4"/>
  <c r="AH361" i="4"/>
  <c r="AH362" i="4"/>
  <c r="AH363" i="4"/>
  <c r="AH365" i="4"/>
  <c r="AH366" i="4"/>
  <c r="AH367" i="4"/>
  <c r="AH373" i="4"/>
  <c r="AH374" i="4"/>
  <c r="AH356" i="4"/>
  <c r="AH357" i="4"/>
  <c r="AH358" i="4"/>
  <c r="AH368" i="4"/>
  <c r="AH372" i="4"/>
  <c r="AH375" i="4"/>
  <c r="AH376" i="4"/>
  <c r="AH377" i="4"/>
  <c r="AH378" i="4"/>
  <c r="AH379" i="4"/>
  <c r="AH380" i="4"/>
  <c r="AH381" i="4"/>
  <c r="AH385" i="4"/>
  <c r="AH386" i="4"/>
  <c r="AH383" i="4"/>
  <c r="AH387" i="4"/>
  <c r="AH391" i="4"/>
  <c r="AH390" i="4"/>
  <c r="AH389" i="4"/>
  <c r="AH388" i="4"/>
  <c r="AH392" i="4"/>
  <c r="AH393" i="4"/>
  <c r="AH407" i="4"/>
  <c r="AH412" i="4"/>
  <c r="AH406" i="4"/>
  <c r="AH404" i="4"/>
  <c r="AH408" i="4"/>
  <c r="AH396" i="4"/>
  <c r="AH397" i="4"/>
  <c r="AH398" i="4"/>
  <c r="AH399" i="4"/>
  <c r="AH400" i="4"/>
  <c r="AH402" i="4"/>
  <c r="AH403" i="4"/>
  <c r="AH410" i="4"/>
  <c r="AH411" i="4"/>
  <c r="AH413" i="4"/>
  <c r="AH414" i="4"/>
  <c r="AH415" i="4"/>
  <c r="AH416" i="4"/>
  <c r="AH417" i="4"/>
  <c r="AH409" i="4"/>
  <c r="AH394" i="4"/>
  <c r="AH405" i="4"/>
  <c r="AH395" i="4"/>
  <c r="AH401" i="4"/>
  <c r="AH120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4" i="1"/>
  <c r="BA24" i="1"/>
  <c r="BB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C52" i="1"/>
  <c r="BB52" i="1"/>
  <c r="BA52" i="1"/>
  <c r="AZ52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N44" i="4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89" i="6"/>
  <c r="AA392" i="6"/>
  <c r="AA388" i="6"/>
  <c r="AA391" i="6"/>
  <c r="AA390" i="6"/>
  <c r="AA416" i="6"/>
  <c r="AA394" i="6"/>
  <c r="AA415" i="6"/>
  <c r="AA414" i="6"/>
  <c r="AA397" i="6"/>
  <c r="AA398" i="6"/>
  <c r="AA399" i="6"/>
  <c r="AA400" i="6"/>
  <c r="AA401" i="6"/>
  <c r="AA396" i="6"/>
  <c r="AA412" i="6"/>
  <c r="AA402" i="6"/>
  <c r="AA403" i="6"/>
  <c r="AA404" i="6"/>
  <c r="AA405" i="6"/>
  <c r="AA406" i="6"/>
  <c r="AA407" i="6"/>
  <c r="AA393" i="6"/>
  <c r="AA413" i="6"/>
  <c r="AA408" i="6"/>
  <c r="AA395" i="6"/>
  <c r="AA417" i="6"/>
  <c r="AA409" i="6"/>
  <c r="AA410" i="6"/>
  <c r="AA411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89" i="6"/>
  <c r="Z392" i="6"/>
  <c r="Z388" i="6"/>
  <c r="Z391" i="6"/>
  <c r="Z390" i="6"/>
  <c r="Z416" i="6"/>
  <c r="Z394" i="6"/>
  <c r="Z415" i="6"/>
  <c r="Z414" i="6"/>
  <c r="Z397" i="6"/>
  <c r="Z398" i="6"/>
  <c r="Z399" i="6"/>
  <c r="Z400" i="6"/>
  <c r="Z401" i="6"/>
  <c r="Z396" i="6"/>
  <c r="Z412" i="6"/>
  <c r="Z402" i="6"/>
  <c r="Z403" i="6"/>
  <c r="Z404" i="6"/>
  <c r="Z405" i="6"/>
  <c r="Z406" i="6"/>
  <c r="Z407" i="6"/>
  <c r="Z393" i="6"/>
  <c r="Z413" i="6"/>
  <c r="Z408" i="6"/>
  <c r="Z395" i="6"/>
  <c r="Z417" i="6"/>
  <c r="Z409" i="6"/>
  <c r="Z410" i="6"/>
  <c r="Z411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0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4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3" i="5"/>
  <c r="AO56" i="5"/>
  <c r="AO402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0" i="5"/>
  <c r="AO397" i="5"/>
  <c r="AO398" i="5"/>
  <c r="AO399" i="5"/>
  <c r="AO400" i="5"/>
  <c r="AO401" i="5"/>
  <c r="AO404" i="5"/>
  <c r="AO405" i="5"/>
  <c r="AO406" i="5"/>
  <c r="AO407" i="5"/>
  <c r="AO408" i="5"/>
  <c r="AO409" i="5"/>
  <c r="AO412" i="5"/>
  <c r="AO415" i="5"/>
  <c r="AO416" i="5"/>
  <c r="AO417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8" i="5"/>
  <c r="AO392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1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3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1" i="5"/>
  <c r="AO167" i="5"/>
  <c r="AO24" i="5"/>
  <c r="AO208" i="5"/>
  <c r="AO273" i="5"/>
  <c r="AO6" i="5"/>
  <c r="AO154" i="5"/>
  <c r="AO152" i="5"/>
  <c r="AO396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5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89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3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4" i="5"/>
  <c r="AO299" i="5"/>
  <c r="AO30" i="5"/>
  <c r="C2" i="7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9" i="1"/>
  <c r="BA83" i="1"/>
  <c r="BA82" i="1"/>
  <c r="BA138" i="1"/>
  <c r="BA136" i="1"/>
  <c r="BA140" i="1"/>
  <c r="BA141" i="1"/>
  <c r="BA142" i="1"/>
  <c r="BA143" i="1"/>
  <c r="BA314" i="1"/>
  <c r="BA325" i="1"/>
  <c r="BA326" i="1"/>
  <c r="BA417" i="1"/>
  <c r="BA3" i="1"/>
  <c r="BA4" i="1"/>
  <c r="BA11" i="1"/>
  <c r="BA13" i="1"/>
  <c r="BA12" i="1"/>
  <c r="BA14" i="1"/>
  <c r="BA28" i="1"/>
  <c r="BA38" i="1"/>
  <c r="BA36" i="1"/>
  <c r="BA41" i="1"/>
  <c r="BA45" i="1"/>
  <c r="BA46" i="1"/>
  <c r="BA47" i="1"/>
  <c r="BA48" i="1"/>
  <c r="BA37" i="1"/>
  <c r="BA43" i="1"/>
  <c r="BA33" i="1"/>
  <c r="BA34" i="1"/>
  <c r="BA35" i="1"/>
  <c r="BA40" i="1"/>
  <c r="BA42" i="1"/>
  <c r="BA44" i="1"/>
  <c r="BA39" i="1"/>
  <c r="BA32" i="1"/>
  <c r="BA31" i="1"/>
  <c r="BA76" i="1"/>
  <c r="BA77" i="1"/>
  <c r="BA80" i="1"/>
  <c r="BA81" i="1"/>
  <c r="BA91" i="1"/>
  <c r="BA92" i="1"/>
  <c r="BA93" i="1"/>
  <c r="BA95" i="1"/>
  <c r="BA96" i="1"/>
  <c r="BA108" i="1"/>
  <c r="BA109" i="1"/>
  <c r="BA110" i="1"/>
  <c r="BA111" i="1"/>
  <c r="BA112" i="1"/>
  <c r="BA115" i="1"/>
  <c r="BA116" i="1"/>
  <c r="BA118" i="1"/>
  <c r="BA119" i="1"/>
  <c r="BA114" i="1"/>
  <c r="BA121" i="1"/>
  <c r="BA117" i="1"/>
  <c r="BA113" i="1"/>
  <c r="BA122" i="1"/>
  <c r="BA120" i="1"/>
  <c r="BA130" i="1"/>
  <c r="BA145" i="1"/>
  <c r="BA137" i="1"/>
  <c r="BA131" i="1"/>
  <c r="BA144" i="1"/>
  <c r="BA132" i="1"/>
  <c r="BA133" i="1"/>
  <c r="BA134" i="1"/>
  <c r="BA135" i="1"/>
  <c r="BA161" i="1"/>
  <c r="BA163" i="1"/>
  <c r="BA164" i="1"/>
  <c r="BA162" i="1"/>
  <c r="BA183" i="1"/>
  <c r="BA184" i="1"/>
  <c r="BA187" i="1"/>
  <c r="BA188" i="1"/>
  <c r="BA199" i="1"/>
  <c r="BA209" i="1"/>
  <c r="BA210" i="1"/>
  <c r="BA211" i="1"/>
  <c r="BA433" i="1"/>
  <c r="BA437" i="1"/>
  <c r="BA436" i="1"/>
  <c r="BA435" i="1"/>
  <c r="BA434" i="1"/>
  <c r="BA222" i="1"/>
  <c r="BA223" i="1"/>
  <c r="BA225" i="1"/>
  <c r="BA224" i="1"/>
  <c r="BA230" i="1"/>
  <c r="BA231" i="1"/>
  <c r="BA239" i="1"/>
  <c r="BA238" i="1"/>
  <c r="BA237" i="1"/>
  <c r="BA246" i="1"/>
  <c r="BA247" i="1"/>
  <c r="BA444" i="1"/>
  <c r="BA443" i="1"/>
  <c r="BA445" i="1"/>
  <c r="BA490" i="1"/>
  <c r="BA491" i="1"/>
  <c r="BA492" i="1"/>
  <c r="BA493" i="1"/>
  <c r="BA494" i="1"/>
  <c r="BA495" i="1"/>
  <c r="BA261" i="1"/>
  <c r="BA262" i="1"/>
  <c r="BA263" i="1"/>
  <c r="BA264" i="1"/>
  <c r="BA265" i="1"/>
  <c r="BA266" i="1"/>
  <c r="BA295" i="1"/>
  <c r="BA296" i="1"/>
  <c r="BA299" i="1"/>
  <c r="BA298" i="1"/>
  <c r="BA297" i="1"/>
  <c r="BA301" i="1"/>
  <c r="BA302" i="1"/>
  <c r="BA303" i="1"/>
  <c r="BA306" i="1"/>
  <c r="BA307" i="1"/>
  <c r="BA308" i="1"/>
  <c r="BA309" i="1"/>
  <c r="BA312" i="1"/>
  <c r="BA313" i="1"/>
  <c r="BA317" i="1"/>
  <c r="BA319" i="1"/>
  <c r="BA318" i="1"/>
  <c r="BA320" i="1"/>
  <c r="BA321" i="1"/>
  <c r="BA328" i="1"/>
  <c r="BA329" i="1"/>
  <c r="BA330" i="1"/>
  <c r="BA322" i="1"/>
  <c r="BA323" i="1"/>
  <c r="BA351" i="1"/>
  <c r="BA352" i="1"/>
  <c r="BA356" i="1"/>
  <c r="BA357" i="1"/>
  <c r="BA358" i="1"/>
  <c r="BA359" i="1"/>
  <c r="BA360" i="1"/>
  <c r="BA373" i="1"/>
  <c r="BA374" i="1"/>
  <c r="BA382" i="1"/>
  <c r="BA384" i="1"/>
  <c r="BA383" i="1"/>
  <c r="BA385" i="1"/>
  <c r="BA386" i="1"/>
  <c r="BA387" i="1"/>
  <c r="BA388" i="1"/>
  <c r="BA389" i="1"/>
  <c r="BA390" i="1"/>
  <c r="BA411" i="1"/>
  <c r="BA412" i="1"/>
  <c r="BA502" i="1"/>
  <c r="BA504" i="1"/>
  <c r="BA503" i="1"/>
  <c r="BA506" i="1"/>
  <c r="BA507" i="1"/>
  <c r="BA508" i="1"/>
  <c r="BA509" i="1"/>
  <c r="BA505" i="1"/>
  <c r="BA416" i="1"/>
  <c r="BA30" i="1"/>
  <c r="AZ30" i="1"/>
  <c r="AA3" i="2"/>
  <c r="AD3" i="2"/>
  <c r="AE3" i="2"/>
  <c r="AF3" i="2"/>
  <c r="AG3" i="2"/>
  <c r="AH3" i="2"/>
  <c r="AI3" i="2"/>
  <c r="AJ3" i="2"/>
  <c r="AK3" i="2"/>
  <c r="AL3" i="2"/>
  <c r="AM3" i="2"/>
  <c r="AZ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C183" i="1"/>
  <c r="BB183" i="1"/>
  <c r="AZ183" i="1"/>
  <c r="BB326" i="1"/>
  <c r="BB4" i="1"/>
  <c r="BB14" i="1"/>
  <c r="BB323" i="1"/>
  <c r="BB325" i="1"/>
  <c r="BB328" i="1"/>
  <c r="BB329" i="1"/>
  <c r="BB330" i="1"/>
  <c r="BB351" i="1"/>
  <c r="BB43" i="1"/>
  <c r="BB44" i="1"/>
  <c r="BB45" i="1"/>
  <c r="BB46" i="1"/>
  <c r="BB47" i="1"/>
  <c r="BB48" i="1"/>
  <c r="BB76" i="1"/>
  <c r="BB77" i="1"/>
  <c r="BB80" i="1"/>
  <c r="BB81" i="1"/>
  <c r="BB82" i="1"/>
  <c r="BB83" i="1"/>
  <c r="BB91" i="1"/>
  <c r="BB92" i="1"/>
  <c r="BB93" i="1"/>
  <c r="BB95" i="1"/>
  <c r="BB96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30" i="1"/>
  <c r="BB131" i="1"/>
  <c r="BB132" i="1"/>
  <c r="BB133" i="1"/>
  <c r="BB134" i="1"/>
  <c r="BB135" i="1"/>
  <c r="BB136" i="1"/>
  <c r="BB137" i="1"/>
  <c r="BB138" i="1"/>
  <c r="BB140" i="1"/>
  <c r="BB141" i="1"/>
  <c r="BB142" i="1"/>
  <c r="BB143" i="1"/>
  <c r="BB144" i="1"/>
  <c r="BB145" i="1"/>
  <c r="BB161" i="1"/>
  <c r="BB162" i="1"/>
  <c r="BB163" i="1"/>
  <c r="BB164" i="1"/>
  <c r="BB187" i="1"/>
  <c r="BB188" i="1"/>
  <c r="BB199" i="1"/>
  <c r="BB209" i="1"/>
  <c r="BB210" i="1"/>
  <c r="BB211" i="1"/>
  <c r="BB433" i="1"/>
  <c r="BB434" i="1"/>
  <c r="BB435" i="1"/>
  <c r="BB436" i="1"/>
  <c r="BB437" i="1"/>
  <c r="BB222" i="1"/>
  <c r="BB223" i="1"/>
  <c r="BB224" i="1"/>
  <c r="BB225" i="1"/>
  <c r="BB230" i="1"/>
  <c r="BB231" i="1"/>
  <c r="BB237" i="1"/>
  <c r="BB238" i="1"/>
  <c r="BB239" i="1"/>
  <c r="BB246" i="1"/>
  <c r="BB247" i="1"/>
  <c r="BB443" i="1"/>
  <c r="BB444" i="1"/>
  <c r="BB445" i="1"/>
  <c r="BB490" i="1"/>
  <c r="BB491" i="1"/>
  <c r="BB492" i="1"/>
  <c r="BB493" i="1"/>
  <c r="BB494" i="1"/>
  <c r="BB495" i="1"/>
  <c r="BB261" i="1"/>
  <c r="BB262" i="1"/>
  <c r="BB263" i="1"/>
  <c r="BB264" i="1"/>
  <c r="BB265" i="1"/>
  <c r="BB266" i="1"/>
  <c r="BB295" i="1"/>
  <c r="BB296" i="1"/>
  <c r="BB297" i="1"/>
  <c r="BB298" i="1"/>
  <c r="BB299" i="1"/>
  <c r="BB301" i="1"/>
  <c r="BB302" i="1"/>
  <c r="BB303" i="1"/>
  <c r="BB306" i="1"/>
  <c r="BB307" i="1"/>
  <c r="BB308" i="1"/>
  <c r="BB309" i="1"/>
  <c r="BB312" i="1"/>
  <c r="BB313" i="1"/>
  <c r="BB314" i="1"/>
  <c r="BB317" i="1"/>
  <c r="BB318" i="1"/>
  <c r="BB319" i="1"/>
  <c r="BB320" i="1"/>
  <c r="BB321" i="1"/>
  <c r="BB322" i="1"/>
  <c r="BB40" i="1"/>
  <c r="BB41" i="1"/>
  <c r="BB42" i="1"/>
  <c r="AZ40" i="1"/>
  <c r="AZ325" i="1"/>
  <c r="AZ326" i="1"/>
  <c r="AZ328" i="1"/>
  <c r="AZ329" i="1"/>
  <c r="AZ33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T2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BC239" i="1"/>
  <c r="BC238" i="1"/>
  <c r="BC39" i="1"/>
  <c r="BC122" i="1"/>
  <c r="BC330" i="1"/>
  <c r="BC445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6" i="4"/>
  <c r="AF202" i="4"/>
  <c r="AF39" i="4"/>
  <c r="AF163" i="4"/>
  <c r="AF165" i="4"/>
  <c r="AF216" i="4"/>
  <c r="AF276" i="4"/>
  <c r="AF12" i="4"/>
  <c r="AF21" i="4"/>
  <c r="AF139" i="4"/>
  <c r="AF197" i="4"/>
  <c r="AF188" i="4"/>
  <c r="AF190" i="4"/>
  <c r="AF195" i="4"/>
  <c r="AF199" i="4"/>
  <c r="AF152" i="4"/>
  <c r="AF167" i="4"/>
  <c r="AF189" i="4"/>
  <c r="AF192" i="4"/>
  <c r="AF193" i="4"/>
  <c r="AF194" i="4"/>
  <c r="AF154" i="4"/>
  <c r="AF198" i="4"/>
  <c r="AF196" i="4"/>
  <c r="AF265" i="4"/>
  <c r="AF273" i="4"/>
  <c r="AF274" i="4"/>
  <c r="AF275" i="4"/>
  <c r="AF301" i="4"/>
  <c r="AF213" i="4"/>
  <c r="AF212" i="4"/>
  <c r="AF30" i="4"/>
  <c r="AF31" i="4"/>
  <c r="AF76" i="4"/>
  <c r="AF87" i="4"/>
  <c r="AF55" i="4"/>
  <c r="AF56" i="4"/>
  <c r="AF79" i="4"/>
  <c r="AF77" i="4"/>
  <c r="AF50" i="4"/>
  <c r="AF71" i="4"/>
  <c r="AF113" i="4"/>
  <c r="AF227" i="4"/>
  <c r="AF205" i="4"/>
  <c r="AF209" i="4"/>
  <c r="AF204" i="4"/>
  <c r="AF246" i="4"/>
  <c r="AF245" i="4"/>
  <c r="AF143" i="4"/>
  <c r="AF208" i="4"/>
  <c r="AF256" i="4"/>
  <c r="AF259" i="4"/>
  <c r="AF257" i="4"/>
  <c r="AF298" i="4"/>
  <c r="AF299" i="4"/>
  <c r="AF75" i="4"/>
  <c r="AF54" i="4"/>
  <c r="AF206" i="4"/>
  <c r="AF207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9" i="4"/>
  <c r="AF130" i="4"/>
  <c r="AF147" i="4"/>
  <c r="AF158" i="4"/>
  <c r="AF182" i="4"/>
  <c r="AF118" i="4"/>
  <c r="AF129" i="4"/>
  <c r="AF155" i="4"/>
  <c r="AF236" i="4"/>
  <c r="AF128" i="4"/>
  <c r="AF142" i="4"/>
  <c r="AF151" i="4"/>
  <c r="AF161" i="4"/>
  <c r="AF172" i="4"/>
  <c r="AF173" i="4"/>
  <c r="AF201" i="4"/>
  <c r="AF214" i="4"/>
  <c r="AF215" i="4"/>
  <c r="AF222" i="4"/>
  <c r="AF232" i="4"/>
  <c r="AF122" i="4"/>
  <c r="AF146" i="4"/>
  <c r="AF171" i="4"/>
  <c r="AF221" i="4"/>
  <c r="AF144" i="4"/>
  <c r="AF219" i="4"/>
  <c r="AF116" i="4"/>
  <c r="AF150" i="4"/>
  <c r="AF233" i="4"/>
  <c r="AF134" i="4"/>
  <c r="AF218" i="4"/>
  <c r="AF225" i="4"/>
  <c r="AF115" i="4"/>
  <c r="AF148" i="4"/>
  <c r="AF159" i="4"/>
  <c r="AF179" i="4"/>
  <c r="AF135" i="4"/>
  <c r="AF136" i="4"/>
  <c r="AF138" i="4"/>
  <c r="AF184" i="4"/>
  <c r="AF185" i="4"/>
  <c r="AF186" i="4"/>
  <c r="AF175" i="4"/>
  <c r="AF238" i="4"/>
  <c r="AF240" i="4"/>
  <c r="AF117" i="4"/>
  <c r="AF170" i="4"/>
  <c r="AF180" i="4"/>
  <c r="AF177" i="4"/>
  <c r="AF239" i="4"/>
  <c r="AF203" i="4"/>
  <c r="AF237" i="4"/>
  <c r="AF241" i="4"/>
  <c r="AF243" i="4"/>
  <c r="AF153" i="4"/>
  <c r="AF247" i="4"/>
  <c r="AF166" i="4"/>
  <c r="AF244" i="4"/>
  <c r="AF145" i="4"/>
  <c r="AF231" i="4"/>
  <c r="AF111" i="4"/>
  <c r="AF103" i="4"/>
  <c r="AF104" i="4"/>
  <c r="AF168" i="4"/>
  <c r="AF108" i="4"/>
  <c r="AF90" i="4"/>
  <c r="AF91" i="4"/>
  <c r="AF92" i="4"/>
  <c r="AF137" i="4"/>
  <c r="AF88" i="4"/>
  <c r="AF105" i="4"/>
  <c r="AF106" i="4"/>
  <c r="AF140" i="4"/>
  <c r="AF101" i="4"/>
  <c r="AF98" i="4"/>
  <c r="AF120" i="4"/>
  <c r="AF181" i="4"/>
  <c r="AF131" i="4"/>
  <c r="AF157" i="4"/>
  <c r="AF191" i="4"/>
  <c r="AF234" i="4"/>
  <c r="AF178" i="4"/>
  <c r="AF228" i="4"/>
  <c r="AF149" i="4"/>
  <c r="AF123" i="4"/>
  <c r="AF141" i="4"/>
  <c r="AF242" i="4"/>
  <c r="AF102" i="4"/>
  <c r="AF183" i="4"/>
  <c r="AF95" i="4"/>
  <c r="AF230" i="4"/>
  <c r="AF114" i="4"/>
  <c r="AF187" i="4"/>
  <c r="AF164" i="4"/>
  <c r="AF156" i="4"/>
  <c r="AF121" i="4"/>
  <c r="AF229" i="4"/>
  <c r="AF124" i="4"/>
  <c r="AF162" i="4"/>
  <c r="AF224" i="4"/>
  <c r="AF94" i="4"/>
  <c r="AF107" i="4"/>
  <c r="AF132" i="4"/>
  <c r="AF169" i="4"/>
  <c r="AF261" i="4"/>
  <c r="AF263" i="4"/>
  <c r="AF258" i="4"/>
  <c r="AF260" i="4"/>
  <c r="AF262" i="4"/>
  <c r="AF251" i="4"/>
  <c r="AF252" i="4"/>
  <c r="AF248" i="4"/>
  <c r="AF250" i="4"/>
  <c r="AF267" i="4"/>
  <c r="AF268" i="4"/>
  <c r="AF270" i="4"/>
  <c r="AF269" i="4"/>
  <c r="AF272" i="4"/>
  <c r="AF277" i="4"/>
  <c r="AF283" i="4"/>
  <c r="AF282" i="4"/>
  <c r="AF281" i="4"/>
  <c r="AF280" i="4"/>
  <c r="AF285" i="4"/>
  <c r="AF286" i="4"/>
  <c r="AF287" i="4"/>
  <c r="AF284" i="4"/>
  <c r="AF288" i="4"/>
  <c r="AF290" i="4"/>
  <c r="AF291" i="4"/>
  <c r="AF289" i="4"/>
  <c r="AF292" i="4"/>
  <c r="AF294" i="4"/>
  <c r="AF295" i="4"/>
  <c r="AF296" i="4"/>
  <c r="AF293" i="4"/>
  <c r="AF297" i="4"/>
  <c r="AF300" i="4"/>
  <c r="AF303" i="4"/>
  <c r="AF25" i="4"/>
  <c r="AF33" i="4"/>
  <c r="AF17" i="4"/>
  <c r="AF44" i="4"/>
  <c r="AF65" i="4"/>
  <c r="AF69" i="4"/>
  <c r="AF70" i="4"/>
  <c r="AF66" i="4"/>
  <c r="AF67" i="4"/>
  <c r="AF127" i="4"/>
  <c r="AF217" i="4"/>
  <c r="AF226" i="4"/>
  <c r="AF112" i="4"/>
  <c r="AF223" i="4"/>
  <c r="AF110" i="4"/>
  <c r="AF109" i="4"/>
  <c r="AF89" i="4"/>
  <c r="AF96" i="4"/>
  <c r="AF97" i="4"/>
  <c r="AF100" i="4"/>
  <c r="AF174" i="4"/>
  <c r="AF99" i="4"/>
  <c r="AF126" i="4"/>
  <c r="AF264" i="4"/>
  <c r="AF249" i="4"/>
  <c r="AF271" i="4"/>
  <c r="AF2" i="4"/>
  <c r="AF22" i="4"/>
  <c r="AF53" i="4"/>
  <c r="AF133" i="4"/>
  <c r="AF160" i="4"/>
  <c r="AF125" i="4"/>
  <c r="AF220" i="4"/>
  <c r="AF93" i="4"/>
  <c r="AF176" i="4"/>
  <c r="AF278" i="4"/>
  <c r="AF302" i="4"/>
  <c r="AF26" i="4"/>
  <c r="AF63" i="4"/>
  <c r="AF64" i="4"/>
  <c r="AF43" i="4"/>
  <c r="AF28" i="4"/>
  <c r="AF253" i="4"/>
  <c r="AF235" i="4"/>
  <c r="AF279" i="4"/>
  <c r="AF312" i="4"/>
  <c r="AF304" i="4"/>
  <c r="AF306" i="4"/>
  <c r="AF307" i="4"/>
  <c r="AF308" i="4"/>
  <c r="AF309" i="4"/>
  <c r="AF310" i="4"/>
  <c r="AF311" i="4"/>
  <c r="AF313" i="4"/>
  <c r="AF315" i="4"/>
  <c r="AF316" i="4"/>
  <c r="AF318" i="4"/>
  <c r="AF319" i="4"/>
  <c r="AF305" i="4"/>
  <c r="AF317" i="4"/>
  <c r="AF320" i="4"/>
  <c r="AF321" i="4"/>
  <c r="AF322" i="4"/>
  <c r="AF335" i="4"/>
  <c r="AF333" i="4"/>
  <c r="AF334" i="4"/>
  <c r="AF323" i="4"/>
  <c r="AF329" i="4"/>
  <c r="AF330" i="4"/>
  <c r="AF331" i="4"/>
  <c r="AF332" i="4"/>
  <c r="AF324" i="4"/>
  <c r="AF345" i="4"/>
  <c r="AF339" i="4"/>
  <c r="AF340" i="4"/>
  <c r="AF343" i="4"/>
  <c r="AF341" i="4"/>
  <c r="AF344" i="4"/>
  <c r="AF342" i="4"/>
  <c r="AF346" i="4"/>
  <c r="AF352" i="4"/>
  <c r="AF347" i="4"/>
  <c r="AF350" i="4"/>
  <c r="AF348" i="4"/>
  <c r="AF349" i="4"/>
  <c r="AF351" i="4"/>
  <c r="AF325" i="4"/>
  <c r="AF326" i="4"/>
  <c r="AF327" i="4"/>
  <c r="AF328" i="4"/>
  <c r="AF338" i="4"/>
  <c r="AF336" i="4"/>
  <c r="AF337" i="4"/>
  <c r="AF354" i="4"/>
  <c r="AF355" i="4"/>
  <c r="AF356" i="4"/>
  <c r="AF357" i="4"/>
  <c r="AF358" i="4"/>
  <c r="AF368" i="4"/>
  <c r="AF374" i="4"/>
  <c r="AF359" i="4"/>
  <c r="AF372" i="4"/>
  <c r="AF353" i="4"/>
  <c r="AF361" i="4"/>
  <c r="AF362" i="4"/>
  <c r="AF363" i="4"/>
  <c r="AF365" i="4"/>
  <c r="AF366" i="4"/>
  <c r="AF367" i="4"/>
  <c r="AF373" i="4"/>
  <c r="AF369" i="4"/>
  <c r="AF370" i="4"/>
  <c r="AF371" i="4"/>
  <c r="AF360" i="4"/>
  <c r="AF364" i="4"/>
  <c r="AF375" i="4"/>
  <c r="AF376" i="4"/>
  <c r="AF377" i="4"/>
  <c r="AF378" i="4"/>
  <c r="AF379" i="4"/>
  <c r="AF380" i="4"/>
  <c r="AF381" i="4"/>
  <c r="AF385" i="4"/>
  <c r="AF386" i="4"/>
  <c r="AF387" i="4"/>
  <c r="AF383" i="4"/>
  <c r="AF390" i="4"/>
  <c r="AF388" i="4"/>
  <c r="AF389" i="4"/>
  <c r="AF392" i="4"/>
  <c r="AF391" i="4"/>
  <c r="AF393" i="4"/>
  <c r="AF394" i="4"/>
  <c r="AF395" i="4"/>
  <c r="AF396" i="4"/>
  <c r="AF397" i="4"/>
  <c r="AF398" i="4"/>
  <c r="AF399" i="4"/>
  <c r="AF400" i="4"/>
  <c r="AF402" i="4"/>
  <c r="AF403" i="4"/>
  <c r="AF404" i="4"/>
  <c r="AF401" i="4"/>
  <c r="AF407" i="4"/>
  <c r="AF405" i="4"/>
  <c r="AF406" i="4"/>
  <c r="AF408" i="4"/>
  <c r="AF409" i="4"/>
  <c r="AF410" i="4"/>
  <c r="AF411" i="4"/>
  <c r="AF412" i="4"/>
  <c r="AF413" i="4"/>
  <c r="AF414" i="4"/>
  <c r="AF415" i="4"/>
  <c r="AF416" i="4"/>
  <c r="AF417" i="4"/>
  <c r="AF4" i="4"/>
  <c r="AE2" i="4"/>
  <c r="BC119" i="5"/>
  <c r="B8" i="3"/>
  <c r="C8" i="3"/>
  <c r="E8" i="3"/>
  <c r="B10" i="3"/>
  <c r="C10" i="3"/>
  <c r="E10" i="3"/>
  <c r="I10" i="3"/>
  <c r="J10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89" i="6"/>
  <c r="D388" i="6"/>
  <c r="D392" i="6"/>
  <c r="D391" i="6"/>
  <c r="D390" i="6"/>
  <c r="D397" i="6"/>
  <c r="D398" i="6"/>
  <c r="D399" i="6"/>
  <c r="D400" i="6"/>
  <c r="D404" i="6"/>
  <c r="D405" i="6"/>
  <c r="D406" i="6"/>
  <c r="D407" i="6"/>
  <c r="D403" i="6"/>
  <c r="D393" i="6"/>
  <c r="D395" i="6"/>
  <c r="D409" i="6"/>
  <c r="D408" i="6"/>
  <c r="D401" i="6"/>
  <c r="D402" i="6"/>
  <c r="D411" i="6"/>
  <c r="D416" i="6"/>
  <c r="D394" i="6"/>
  <c r="D415" i="6"/>
  <c r="D417" i="6"/>
  <c r="D410" i="6"/>
  <c r="D413" i="6"/>
  <c r="D396" i="6"/>
  <c r="D412" i="6"/>
  <c r="D414" i="6"/>
  <c r="D22" i="6"/>
  <c r="A171" i="8"/>
  <c r="C171" i="8"/>
  <c r="AZ199" i="1"/>
  <c r="BC199" i="1"/>
  <c r="AZ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K65" i="4"/>
  <c r="K69" i="4"/>
  <c r="K70" i="4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7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9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9" i="4"/>
  <c r="AL130" i="4"/>
  <c r="AL147" i="4"/>
  <c r="AL158" i="4"/>
  <c r="AL182" i="4"/>
  <c r="AL118" i="4"/>
  <c r="AL129" i="4"/>
  <c r="AL127" i="4"/>
  <c r="AL155" i="4"/>
  <c r="AL236" i="4"/>
  <c r="AL128" i="4"/>
  <c r="AL142" i="4"/>
  <c r="AL151" i="4"/>
  <c r="AL161" i="4"/>
  <c r="AL172" i="4"/>
  <c r="AL173" i="4"/>
  <c r="AL201" i="4"/>
  <c r="AL214" i="4"/>
  <c r="AL215" i="4"/>
  <c r="AL217" i="4"/>
  <c r="AL222" i="4"/>
  <c r="AL226" i="4"/>
  <c r="AL232" i="4"/>
  <c r="AL122" i="4"/>
  <c r="AL146" i="4"/>
  <c r="AL171" i="4"/>
  <c r="AL221" i="4"/>
  <c r="AL112" i="4"/>
  <c r="AL113" i="4"/>
  <c r="AL144" i="4"/>
  <c r="AL219" i="4"/>
  <c r="AL227" i="4"/>
  <c r="AL116" i="4"/>
  <c r="AL150" i="4"/>
  <c r="AL233" i="4"/>
  <c r="AL134" i="4"/>
  <c r="AL218" i="4"/>
  <c r="AL223" i="4"/>
  <c r="AL225" i="4"/>
  <c r="AL115" i="4"/>
  <c r="AL148" i="4"/>
  <c r="AL159" i="4"/>
  <c r="AL179" i="4"/>
  <c r="AL135" i="4"/>
  <c r="AL205" i="4"/>
  <c r="AL206" i="4"/>
  <c r="AL207" i="4"/>
  <c r="AL209" i="4"/>
  <c r="AL133" i="4"/>
  <c r="AL160" i="4"/>
  <c r="AL136" i="4"/>
  <c r="AL138" i="4"/>
  <c r="AL184" i="4"/>
  <c r="AL185" i="4"/>
  <c r="AL186" i="4"/>
  <c r="AL197" i="4"/>
  <c r="AL175" i="4"/>
  <c r="AL188" i="4"/>
  <c r="AL190" i="4"/>
  <c r="AL195" i="4"/>
  <c r="AL199" i="4"/>
  <c r="AL152" i="4"/>
  <c r="AL167" i="4"/>
  <c r="AL189" i="4"/>
  <c r="AL202" i="4"/>
  <c r="AL204" i="4"/>
  <c r="AL238" i="4"/>
  <c r="AL240" i="4"/>
  <c r="AL117" i="4"/>
  <c r="AL170" i="4"/>
  <c r="AL180" i="4"/>
  <c r="AL192" i="4"/>
  <c r="AL193" i="4"/>
  <c r="AL177" i="4"/>
  <c r="AL235" i="4"/>
  <c r="AL239" i="4"/>
  <c r="AL203" i="4"/>
  <c r="AL237" i="4"/>
  <c r="AL241" i="4"/>
  <c r="AL243" i="4"/>
  <c r="AL153" i="4"/>
  <c r="AL194" i="4"/>
  <c r="AL247" i="4"/>
  <c r="AL166" i="4"/>
  <c r="AL163" i="4"/>
  <c r="AL110" i="4"/>
  <c r="AL244" i="4"/>
  <c r="AL213" i="4"/>
  <c r="AL145" i="4"/>
  <c r="AL246" i="4"/>
  <c r="AL109" i="4"/>
  <c r="AL212" i="4"/>
  <c r="AL231" i="4"/>
  <c r="AL111" i="4"/>
  <c r="AL103" i="4"/>
  <c r="AL104" i="4"/>
  <c r="AL168" i="4"/>
  <c r="AL108" i="4"/>
  <c r="AL154" i="4"/>
  <c r="AL90" i="4"/>
  <c r="AL89" i="4"/>
  <c r="AL91" i="4"/>
  <c r="AL92" i="4"/>
  <c r="AL137" i="4"/>
  <c r="AL88" i="4"/>
  <c r="AL198" i="4"/>
  <c r="AL96" i="4"/>
  <c r="AL105" i="4"/>
  <c r="AL125" i="4"/>
  <c r="AL106" i="4"/>
  <c r="AL97" i="4"/>
  <c r="AL100" i="4"/>
  <c r="AL140" i="4"/>
  <c r="AL174" i="4"/>
  <c r="AL101" i="4"/>
  <c r="AL98" i="4"/>
  <c r="AL126" i="4"/>
  <c r="AL120" i="4"/>
  <c r="AL181" i="4"/>
  <c r="AL131" i="4"/>
  <c r="AL157" i="4"/>
  <c r="AL220" i="4"/>
  <c r="AL191" i="4"/>
  <c r="AL234" i="4"/>
  <c r="AL245" i="4"/>
  <c r="AL178" i="4"/>
  <c r="AL228" i="4"/>
  <c r="AL149" i="4"/>
  <c r="AL123" i="4"/>
  <c r="AL143" i="4"/>
  <c r="AL141" i="4"/>
  <c r="AL242" i="4"/>
  <c r="AL102" i="4"/>
  <c r="AL183" i="4"/>
  <c r="AL95" i="4"/>
  <c r="AL230" i="4"/>
  <c r="AL114" i="4"/>
  <c r="AL187" i="4"/>
  <c r="AL164" i="4"/>
  <c r="AL156" i="4"/>
  <c r="AL121" i="4"/>
  <c r="AL229" i="4"/>
  <c r="AL124" i="4"/>
  <c r="AL162" i="4"/>
  <c r="AL224" i="4"/>
  <c r="AL208" i="4"/>
  <c r="AL165" i="4"/>
  <c r="AL94" i="4"/>
  <c r="AL107" i="4"/>
  <c r="AL261" i="4"/>
  <c r="AL256" i="4"/>
  <c r="AL263" i="4"/>
  <c r="AL265" i="4"/>
  <c r="AL264" i="4"/>
  <c r="AL258" i="4"/>
  <c r="AL260" i="4"/>
  <c r="AL262" i="4"/>
  <c r="AL251" i="4"/>
  <c r="AL252" i="4"/>
  <c r="AL248" i="4"/>
  <c r="AL250" i="4"/>
  <c r="AL249" i="4"/>
  <c r="AL259" i="4"/>
  <c r="AL253" i="4"/>
  <c r="AL273" i="4"/>
  <c r="AL274" i="4"/>
  <c r="AL267" i="4"/>
  <c r="AL266" i="4"/>
  <c r="AL268" i="4"/>
  <c r="AL270" i="4"/>
  <c r="AL271" i="4"/>
  <c r="AL269" i="4"/>
  <c r="AL272" i="4"/>
  <c r="AL275" i="4"/>
  <c r="AL276" i="4"/>
  <c r="AL277" i="4"/>
  <c r="AL283" i="4"/>
  <c r="AL282" i="4"/>
  <c r="AL279" i="4"/>
  <c r="AL281" i="4"/>
  <c r="AL280" i="4"/>
  <c r="AL285" i="4"/>
  <c r="AL278" i="4"/>
  <c r="AL286" i="4"/>
  <c r="AL287" i="4"/>
  <c r="AL284" i="4"/>
  <c r="AL288" i="4"/>
  <c r="AL290" i="4"/>
  <c r="AL291" i="4"/>
  <c r="AL289" i="4"/>
  <c r="AL292" i="4"/>
  <c r="AL294" i="4"/>
  <c r="AL295" i="4"/>
  <c r="AL296" i="4"/>
  <c r="AL293" i="4"/>
  <c r="AL297" i="4"/>
  <c r="AL300" i="4"/>
  <c r="AL298" i="4"/>
  <c r="AL299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5" i="4"/>
  <c r="AL316" i="4"/>
  <c r="AL317" i="4"/>
  <c r="AL318" i="4"/>
  <c r="AL319" i="4"/>
  <c r="AL335" i="4"/>
  <c r="AL333" i="4"/>
  <c r="AL334" i="4"/>
  <c r="AL320" i="4"/>
  <c r="AL323" i="4"/>
  <c r="AL325" i="4"/>
  <c r="AL326" i="4"/>
  <c r="AL327" i="4"/>
  <c r="AL328" i="4"/>
  <c r="AL329" i="4"/>
  <c r="AL330" i="4"/>
  <c r="AL331" i="4"/>
  <c r="AL332" i="4"/>
  <c r="AL324" i="4"/>
  <c r="AL321" i="4"/>
  <c r="AL322" i="4"/>
  <c r="AL340" i="4"/>
  <c r="AL345" i="4"/>
  <c r="AL343" i="4"/>
  <c r="AL341" i="4"/>
  <c r="AL344" i="4"/>
  <c r="AL339" i="4"/>
  <c r="AL342" i="4"/>
  <c r="AL338" i="4"/>
  <c r="AL336" i="4"/>
  <c r="AL337" i="4"/>
  <c r="AL346" i="4"/>
  <c r="AL347" i="4"/>
  <c r="AL350" i="4"/>
  <c r="AL348" i="4"/>
  <c r="AL349" i="4"/>
  <c r="AL351" i="4"/>
  <c r="AL352" i="4"/>
  <c r="AL359" i="4"/>
  <c r="AL353" i="4"/>
  <c r="AL354" i="4"/>
  <c r="AL355" i="4"/>
  <c r="AL360" i="4"/>
  <c r="AL361" i="4"/>
  <c r="AL362" i="4"/>
  <c r="AL363" i="4"/>
  <c r="AL364" i="4"/>
  <c r="AL365" i="4"/>
  <c r="AL366" i="4"/>
  <c r="AL367" i="4"/>
  <c r="AL369" i="4"/>
  <c r="AL370" i="4"/>
  <c r="AL371" i="4"/>
  <c r="AL356" i="4"/>
  <c r="AL357" i="4"/>
  <c r="AL358" i="4"/>
  <c r="AL368" i="4"/>
  <c r="AL372" i="4"/>
  <c r="AL373" i="4"/>
  <c r="AL374" i="4"/>
  <c r="AL375" i="4"/>
  <c r="AL376" i="4"/>
  <c r="AL377" i="4"/>
  <c r="AL378" i="4"/>
  <c r="AL379" i="4"/>
  <c r="AL380" i="4"/>
  <c r="AL381" i="4"/>
  <c r="AL383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2" i="4"/>
  <c r="AL403" i="4"/>
  <c r="AL404" i="4"/>
  <c r="AL401" i="4"/>
  <c r="AL407" i="4"/>
  <c r="AL405" i="4"/>
  <c r="AL406" i="4"/>
  <c r="AL408" i="4"/>
  <c r="AL409" i="4"/>
  <c r="AL410" i="4"/>
  <c r="AL411" i="4"/>
  <c r="AL412" i="4"/>
  <c r="AL413" i="4"/>
  <c r="AL414" i="4"/>
  <c r="AL415" i="4"/>
  <c r="AL416" i="4"/>
  <c r="AL417" i="4"/>
  <c r="AL5" i="4"/>
  <c r="AL27" i="4"/>
  <c r="AL40" i="4"/>
  <c r="AL23" i="4"/>
  <c r="AL19" i="4"/>
  <c r="AL16" i="4"/>
  <c r="AL39" i="4"/>
  <c r="AL83" i="4"/>
  <c r="AL54" i="4"/>
  <c r="AL51" i="4"/>
  <c r="AL132" i="4"/>
  <c r="AL169" i="4"/>
  <c r="AL196" i="4"/>
  <c r="AL93" i="4"/>
  <c r="AL216" i="4"/>
  <c r="AL176" i="4"/>
  <c r="AL257" i="4"/>
  <c r="AL2" i="4"/>
  <c r="F44" i="4"/>
  <c r="F45" i="4"/>
  <c r="E45" i="4"/>
  <c r="E44" i="4"/>
  <c r="M44" i="4"/>
  <c r="AA21" i="2"/>
  <c r="AD21" i="2"/>
  <c r="AE21" i="2"/>
  <c r="AF21" i="2"/>
  <c r="AG21" i="2"/>
  <c r="AH21" i="2"/>
  <c r="AI21" i="2"/>
  <c r="AK21" i="2"/>
  <c r="AL21" i="2"/>
  <c r="AM21" i="2"/>
  <c r="AZ209" i="1"/>
  <c r="BC209" i="1"/>
  <c r="AZ210" i="1"/>
  <c r="BC210" i="1"/>
  <c r="BC329" i="1"/>
  <c r="AZ320" i="1"/>
  <c r="BC320" i="1"/>
  <c r="AZ319" i="1"/>
  <c r="BC319" i="1"/>
  <c r="AZ122" i="1"/>
  <c r="AZ509" i="1"/>
  <c r="BC509" i="1"/>
  <c r="BB509" i="1"/>
  <c r="AZ508" i="1"/>
  <c r="BC508" i="1"/>
  <c r="BB508" i="1"/>
  <c r="AZ299" i="1"/>
  <c r="BC299" i="1"/>
  <c r="AZ298" i="1"/>
  <c r="BC298" i="1"/>
  <c r="AZ44" i="1"/>
  <c r="BC44" i="1"/>
  <c r="AZ43" i="1"/>
  <c r="BC43" i="1"/>
  <c r="AZ42" i="1"/>
  <c r="BC42" i="1"/>
  <c r="AZ41" i="1"/>
  <c r="BC41" i="1"/>
  <c r="BC40" i="1"/>
  <c r="AZ145" i="1"/>
  <c r="BC145" i="1"/>
  <c r="AZ144" i="1"/>
  <c r="BC144" i="1"/>
  <c r="AZ48" i="1"/>
  <c r="BC48" i="1"/>
  <c r="AZ47" i="1"/>
  <c r="BC47" i="1"/>
  <c r="AZ3" i="1"/>
  <c r="AZ4" i="1"/>
  <c r="AZ11" i="1"/>
  <c r="AZ12" i="1"/>
  <c r="AZ13" i="1"/>
  <c r="AZ14" i="1"/>
  <c r="AZ28" i="1"/>
  <c r="AZ29" i="1"/>
  <c r="AZ31" i="1"/>
  <c r="AZ32" i="1"/>
  <c r="AZ33" i="1"/>
  <c r="AZ34" i="1"/>
  <c r="AZ35" i="1"/>
  <c r="AZ36" i="1"/>
  <c r="AZ37" i="1"/>
  <c r="AZ38" i="1"/>
  <c r="AZ39" i="1"/>
  <c r="AZ45" i="1"/>
  <c r="AZ46" i="1"/>
  <c r="AZ76" i="1"/>
  <c r="AZ77" i="1"/>
  <c r="AZ80" i="1"/>
  <c r="AZ81" i="1"/>
  <c r="AZ82" i="1"/>
  <c r="AZ83" i="1"/>
  <c r="AZ91" i="1"/>
  <c r="AZ92" i="1"/>
  <c r="AZ93" i="1"/>
  <c r="AZ95" i="1"/>
  <c r="AZ96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30" i="1"/>
  <c r="AZ131" i="1"/>
  <c r="AZ132" i="1"/>
  <c r="AZ133" i="1"/>
  <c r="AZ134" i="1"/>
  <c r="AZ135" i="1"/>
  <c r="AZ136" i="1"/>
  <c r="AZ137" i="1"/>
  <c r="AZ138" i="1"/>
  <c r="AZ140" i="1"/>
  <c r="AZ141" i="1"/>
  <c r="AZ142" i="1"/>
  <c r="AZ143" i="1"/>
  <c r="AZ161" i="1"/>
  <c r="AZ162" i="1"/>
  <c r="AZ163" i="1"/>
  <c r="AZ164" i="1"/>
  <c r="AZ187" i="1"/>
  <c r="AZ188" i="1"/>
  <c r="AZ222" i="1"/>
  <c r="AZ223" i="1"/>
  <c r="AZ224" i="1"/>
  <c r="AZ225" i="1"/>
  <c r="AZ230" i="1"/>
  <c r="AZ231" i="1"/>
  <c r="AZ237" i="1"/>
  <c r="AZ238" i="1"/>
  <c r="AZ239" i="1"/>
  <c r="AZ246" i="1"/>
  <c r="AZ247" i="1"/>
  <c r="AZ261" i="1"/>
  <c r="AZ262" i="1"/>
  <c r="AZ263" i="1"/>
  <c r="AZ264" i="1"/>
  <c r="AZ265" i="1"/>
  <c r="AZ266" i="1"/>
  <c r="AZ295" i="1"/>
  <c r="AZ296" i="1"/>
  <c r="AZ297" i="1"/>
  <c r="AZ301" i="1"/>
  <c r="AZ302" i="1"/>
  <c r="AZ303" i="1"/>
  <c r="AZ306" i="1"/>
  <c r="AZ307" i="1"/>
  <c r="AZ308" i="1"/>
  <c r="AZ309" i="1"/>
  <c r="AZ312" i="1"/>
  <c r="AZ313" i="1"/>
  <c r="AZ314" i="1"/>
  <c r="AZ317" i="1"/>
  <c r="AZ318" i="1"/>
  <c r="AZ321" i="1"/>
  <c r="AZ322" i="1"/>
  <c r="AZ323" i="1"/>
  <c r="AZ351" i="1"/>
  <c r="AZ352" i="1"/>
  <c r="AZ356" i="1"/>
  <c r="AZ357" i="1"/>
  <c r="AZ358" i="1"/>
  <c r="AZ359" i="1"/>
  <c r="AZ360" i="1"/>
  <c r="AZ373" i="1"/>
  <c r="AZ374" i="1"/>
  <c r="AZ382" i="1"/>
  <c r="AZ383" i="1"/>
  <c r="AZ384" i="1"/>
  <c r="AZ385" i="1"/>
  <c r="AZ386" i="1"/>
  <c r="AZ387" i="1"/>
  <c r="AZ388" i="1"/>
  <c r="AZ389" i="1"/>
  <c r="AZ390" i="1"/>
  <c r="AZ411" i="1"/>
  <c r="AZ412" i="1"/>
  <c r="AZ416" i="1"/>
  <c r="AZ417" i="1"/>
  <c r="AZ433" i="1"/>
  <c r="AZ434" i="1"/>
  <c r="AZ435" i="1"/>
  <c r="AZ436" i="1"/>
  <c r="AZ437" i="1"/>
  <c r="AZ443" i="1"/>
  <c r="AZ444" i="1"/>
  <c r="AZ445" i="1"/>
  <c r="AZ490" i="1"/>
  <c r="AZ491" i="1"/>
  <c r="AZ492" i="1"/>
  <c r="AZ493" i="1"/>
  <c r="AZ494" i="1"/>
  <c r="AZ495" i="1"/>
  <c r="AZ502" i="1"/>
  <c r="AZ503" i="1"/>
  <c r="AZ504" i="1"/>
  <c r="AZ505" i="1"/>
  <c r="AZ506" i="1"/>
  <c r="AZ507" i="1"/>
  <c r="AZ2" i="1"/>
  <c r="BC46" i="1"/>
  <c r="BC45" i="1"/>
  <c r="BC303" i="1"/>
  <c r="BB507" i="1"/>
  <c r="BC507" i="1"/>
  <c r="BB506" i="1"/>
  <c r="BC506" i="1"/>
  <c r="BB505" i="1"/>
  <c r="BC505" i="1"/>
  <c r="BB504" i="1"/>
  <c r="BC504" i="1"/>
  <c r="BB503" i="1"/>
  <c r="BC503" i="1"/>
  <c r="CT502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B502" i="1"/>
  <c r="BC502" i="1"/>
  <c r="BC495" i="1"/>
  <c r="BC494" i="1"/>
  <c r="BC493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C492" i="1"/>
  <c r="BC491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C490" i="1"/>
  <c r="BC444" i="1"/>
  <c r="BC443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C437" i="1"/>
  <c r="BC436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C435" i="1"/>
  <c r="BC434" i="1"/>
  <c r="BC433" i="1"/>
  <c r="BB417" i="1"/>
  <c r="BC417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B416" i="1"/>
  <c r="BC416" i="1"/>
  <c r="BB412" i="1"/>
  <c r="BC412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B411" i="1"/>
  <c r="BC411" i="1"/>
  <c r="BB390" i="1"/>
  <c r="BC390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B389" i="1"/>
  <c r="BC389" i="1"/>
  <c r="BB388" i="1"/>
  <c r="BC388" i="1"/>
  <c r="BB387" i="1"/>
  <c r="BC387" i="1"/>
  <c r="BB386" i="1"/>
  <c r="BC386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B385" i="1"/>
  <c r="BC385" i="1"/>
  <c r="BB384" i="1"/>
  <c r="BC384" i="1"/>
  <c r="BB383" i="1"/>
  <c r="BC383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B382" i="1"/>
  <c r="BC382" i="1"/>
  <c r="BB374" i="1"/>
  <c r="BC374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B373" i="1"/>
  <c r="BC373" i="1"/>
  <c r="BB360" i="1"/>
  <c r="BC360" i="1"/>
  <c r="BB359" i="1"/>
  <c r="BC359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B358" i="1"/>
  <c r="BC358" i="1"/>
  <c r="BB357" i="1"/>
  <c r="BC357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B356" i="1"/>
  <c r="BC356" i="1"/>
  <c r="BB352" i="1"/>
  <c r="BC352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C351" i="1"/>
  <c r="BC328" i="1"/>
  <c r="BC326" i="1"/>
  <c r="BC325" i="1"/>
  <c r="BC323" i="1"/>
  <c r="BC322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C321" i="1"/>
  <c r="BC318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C317" i="1"/>
  <c r="BC314" i="1"/>
  <c r="BC313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C312" i="1"/>
  <c r="BC309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C308" i="1"/>
  <c r="BC307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C306" i="1"/>
  <c r="BC302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C301" i="1"/>
  <c r="BC297" i="1"/>
  <c r="BC296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C295" i="1"/>
  <c r="BC266" i="1"/>
  <c r="BC265" i="1"/>
  <c r="BC264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C263" i="1"/>
  <c r="BC262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C261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C246" i="1"/>
  <c r="BC231" i="1"/>
  <c r="BC230" i="1"/>
  <c r="BC225" i="1"/>
  <c r="BC224" i="1"/>
  <c r="BC223" i="1"/>
  <c r="BC222" i="1"/>
  <c r="BC188" i="1"/>
  <c r="BC187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C163" i="1"/>
  <c r="BC162" i="1"/>
  <c r="BC161" i="1"/>
  <c r="BC143" i="1"/>
  <c r="BC142" i="1"/>
  <c r="BC141" i="1"/>
  <c r="BC140" i="1"/>
  <c r="BC138" i="1"/>
  <c r="BC137" i="1"/>
  <c r="BC136" i="1"/>
  <c r="BC135" i="1"/>
  <c r="BC134" i="1"/>
  <c r="BC133" i="1"/>
  <c r="BC132" i="1"/>
  <c r="BC131" i="1"/>
  <c r="BC130" i="1"/>
  <c r="BC121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96" i="1"/>
  <c r="BC95" i="1"/>
  <c r="BC93" i="1"/>
  <c r="BC92" i="1"/>
  <c r="BC91" i="1"/>
  <c r="BC83" i="1"/>
  <c r="BC82" i="1"/>
  <c r="BC81" i="1"/>
  <c r="BC80" i="1"/>
  <c r="BC77" i="1"/>
  <c r="BC76" i="1"/>
  <c r="BB39" i="1"/>
  <c r="BB38" i="1"/>
  <c r="BC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C14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B13" i="1"/>
  <c r="BC13" i="1"/>
  <c r="BB12" i="1"/>
  <c r="BC12" i="1"/>
  <c r="BB11" i="1"/>
  <c r="BC11" i="1"/>
  <c r="BC4" i="1"/>
  <c r="BB3" i="1"/>
  <c r="BC3" i="1"/>
  <c r="BB2" i="1"/>
  <c r="B272" i="6"/>
  <c r="F40" i="3"/>
  <c r="A40" i="3"/>
  <c r="G40" i="3"/>
  <c r="H40" i="3"/>
  <c r="F41" i="3"/>
  <c r="F42" i="3"/>
  <c r="F43" i="3"/>
  <c r="A41" i="3"/>
  <c r="H41" i="3"/>
  <c r="A42" i="3"/>
  <c r="H42" i="3"/>
  <c r="A43" i="3"/>
  <c r="H43" i="3"/>
  <c r="AI217" i="4"/>
  <c r="AI264" i="4"/>
  <c r="U264" i="4" a="1"/>
  <c r="U264" i="4"/>
  <c r="AI213" i="4"/>
  <c r="AI212" i="4"/>
  <c r="G41" i="3"/>
  <c r="G42" i="3"/>
  <c r="G43" i="3"/>
  <c r="T264" i="4" a="1"/>
  <c r="T264" i="4"/>
  <c r="T213" i="4" a="1"/>
  <c r="T213" i="4"/>
  <c r="T212" i="4" a="1"/>
  <c r="T212" i="4"/>
  <c r="B25" i="3"/>
  <c r="C25" i="3"/>
  <c r="E25" i="3"/>
  <c r="AA25" i="2"/>
  <c r="AD25" i="2"/>
  <c r="AE25" i="2"/>
  <c r="AF25" i="2"/>
  <c r="AG25" i="2"/>
  <c r="AH25" i="2"/>
  <c r="AI25" i="2"/>
  <c r="AK25" i="2"/>
  <c r="AL25" i="2"/>
  <c r="R343" i="4"/>
  <c r="R335" i="4"/>
  <c r="R333" i="4"/>
  <c r="R334" i="4"/>
  <c r="R351" i="4"/>
  <c r="R320" i="4"/>
  <c r="R321" i="4"/>
  <c r="R322" i="4"/>
  <c r="R344" i="4"/>
  <c r="R331" i="4"/>
  <c r="R329" i="4"/>
  <c r="R330" i="4"/>
  <c r="R337" i="4"/>
  <c r="R347" i="4"/>
  <c r="R338" i="4"/>
  <c r="R324" i="4"/>
  <c r="R341" i="4"/>
  <c r="R325" i="4"/>
  <c r="R353" i="4"/>
  <c r="R348" i="4"/>
  <c r="R373" i="4"/>
  <c r="R366" i="4"/>
  <c r="R360" i="4"/>
  <c r="R363" i="4"/>
  <c r="R359" i="4"/>
  <c r="R365" i="4"/>
  <c r="R367" i="4"/>
  <c r="R323" i="4"/>
  <c r="R364" i="4"/>
  <c r="R362" i="4"/>
  <c r="R371" i="4"/>
  <c r="R361" i="4"/>
  <c r="R369" i="4"/>
  <c r="R370" i="4"/>
  <c r="R296" i="4"/>
  <c r="R295" i="4"/>
  <c r="R326" i="4"/>
  <c r="R294" i="4"/>
  <c r="R339" i="4"/>
  <c r="R374" i="4"/>
  <c r="R352" i="4"/>
  <c r="R349" i="4"/>
  <c r="R340" i="4"/>
  <c r="R332" i="4"/>
  <c r="R350" i="4"/>
  <c r="R299" i="4"/>
  <c r="R354" i="4"/>
  <c r="R300" i="4"/>
  <c r="R298" i="4"/>
  <c r="R355" i="4"/>
  <c r="R327" i="4"/>
  <c r="R293" i="4"/>
  <c r="R297" i="4"/>
  <c r="R378" i="4"/>
  <c r="R387" i="4"/>
  <c r="R342" i="4"/>
  <c r="R346" i="4"/>
  <c r="R160" i="4"/>
  <c r="R381" i="4"/>
  <c r="R379" i="4"/>
  <c r="R375" i="4"/>
  <c r="R383" i="4"/>
  <c r="R377" i="4"/>
  <c r="R376" i="4"/>
  <c r="R380" i="4"/>
  <c r="R385" i="4"/>
  <c r="R328" i="4"/>
  <c r="R386" i="4"/>
  <c r="R306" i="4"/>
  <c r="R319" i="4"/>
  <c r="R316" i="4"/>
  <c r="R307" i="4"/>
  <c r="R193" i="4"/>
  <c r="R318" i="4"/>
  <c r="R315" i="4"/>
  <c r="R309" i="4"/>
  <c r="R317" i="4"/>
  <c r="R305" i="4"/>
  <c r="R133" i="4"/>
  <c r="R313" i="4"/>
  <c r="R310" i="4"/>
  <c r="R311" i="4"/>
  <c r="R304" i="4"/>
  <c r="R308" i="4"/>
  <c r="R312" i="4"/>
  <c r="R179" i="4"/>
  <c r="R301" i="4"/>
  <c r="R126" i="4"/>
  <c r="R226" i="4"/>
  <c r="R228" i="4"/>
  <c r="R235" i="4"/>
  <c r="R104" i="4"/>
  <c r="R284" i="4"/>
  <c r="R214" i="4"/>
  <c r="R184" i="4"/>
  <c r="R190" i="4"/>
  <c r="R252" i="4"/>
  <c r="R165" i="4"/>
  <c r="R229" i="4"/>
  <c r="R248" i="4"/>
  <c r="R227" i="4"/>
  <c r="R271" i="4"/>
  <c r="R167" i="4"/>
  <c r="R270" i="4"/>
  <c r="R98" i="4"/>
  <c r="R203" i="4"/>
  <c r="R99" i="4"/>
  <c r="R262" i="4"/>
  <c r="R68" i="4"/>
  <c r="R47" i="4"/>
  <c r="R266" i="4"/>
  <c r="R69" i="4"/>
  <c r="R273" i="4"/>
  <c r="R108" i="4"/>
  <c r="R116" i="4"/>
  <c r="R265" i="4"/>
  <c r="R26" i="4"/>
  <c r="R152" i="4"/>
  <c r="R268" i="4"/>
  <c r="R67" i="4"/>
  <c r="R213" i="4"/>
  <c r="R151" i="4"/>
  <c r="R274" i="4"/>
  <c r="R80" i="4"/>
  <c r="R249" i="4"/>
  <c r="R250" i="4"/>
  <c r="R137" i="4"/>
  <c r="R37" i="4"/>
  <c r="R159" i="4"/>
  <c r="R263" i="4"/>
  <c r="R117" i="4"/>
  <c r="R32" i="4"/>
  <c r="R192" i="4"/>
  <c r="R196" i="4"/>
  <c r="R208" i="4"/>
  <c r="R209" i="4"/>
  <c r="R245" i="4"/>
  <c r="R107" i="4"/>
  <c r="R34" i="4"/>
  <c r="R147" i="4"/>
  <c r="R61" i="4"/>
  <c r="R212" i="4"/>
  <c r="R217" i="4"/>
  <c r="R357" i="4"/>
  <c r="R197" i="4"/>
  <c r="R234" i="4"/>
  <c r="R238" i="4"/>
  <c r="R139" i="4"/>
  <c r="R70" i="4"/>
  <c r="R89" i="4"/>
  <c r="R109" i="4"/>
  <c r="R87" i="4"/>
  <c r="R28" i="4"/>
  <c r="R138" i="4"/>
  <c r="R191" i="4"/>
  <c r="R195" i="4"/>
  <c r="R198" i="4"/>
  <c r="R65" i="4"/>
  <c r="R66" i="4"/>
  <c r="R83" i="4"/>
  <c r="R43" i="4"/>
  <c r="R154" i="4"/>
  <c r="R64" i="4"/>
  <c r="R194" i="4"/>
  <c r="R336" i="4"/>
  <c r="R95" i="4"/>
  <c r="R111" i="4"/>
  <c r="R121" i="4"/>
  <c r="R31" i="4"/>
  <c r="R170" i="4"/>
  <c r="R4" i="4"/>
  <c r="R20" i="4"/>
  <c r="R103" i="4"/>
  <c r="R113" i="4"/>
  <c r="R269" i="4"/>
  <c r="R247" i="4"/>
  <c r="R48" i="4"/>
  <c r="R272" i="4"/>
  <c r="R224" i="4"/>
  <c r="R164" i="4"/>
  <c r="R81" i="4"/>
  <c r="R356" i="4"/>
  <c r="R251" i="4"/>
  <c r="R275" i="4"/>
  <c r="R169" i="4"/>
  <c r="R240" i="4"/>
  <c r="R110" i="4"/>
  <c r="R22" i="4"/>
  <c r="R155" i="4"/>
  <c r="R52" i="4"/>
  <c r="R177" i="4"/>
  <c r="R222" i="4"/>
  <c r="R236" i="4"/>
  <c r="R82" i="4"/>
  <c r="R23" i="4"/>
  <c r="R186" i="4"/>
  <c r="R241" i="4"/>
  <c r="R243" i="4"/>
  <c r="R115" i="4"/>
  <c r="R124" i="4"/>
  <c r="R259" i="4"/>
  <c r="R239" i="4"/>
  <c r="R242" i="4"/>
  <c r="R90" i="4"/>
  <c r="R105" i="4"/>
  <c r="R119" i="4"/>
  <c r="R176" i="4"/>
  <c r="R57" i="4"/>
  <c r="R63" i="4"/>
  <c r="R202" i="4"/>
  <c r="R88" i="4"/>
  <c r="R24" i="4"/>
  <c r="R123" i="4"/>
  <c r="R30" i="4"/>
  <c r="R134" i="4"/>
  <c r="R143" i="4"/>
  <c r="R149" i="4"/>
  <c r="R206" i="4"/>
  <c r="R207" i="4"/>
  <c r="R216" i="4"/>
  <c r="R280" i="4"/>
  <c r="R120" i="4"/>
  <c r="R33" i="4"/>
  <c r="R46" i="4"/>
  <c r="R142" i="4"/>
  <c r="R264" i="4"/>
  <c r="R84" i="4"/>
  <c r="R246" i="4"/>
  <c r="R100" i="4"/>
  <c r="R219" i="4"/>
  <c r="R93" i="4"/>
  <c r="R21" i="4"/>
  <c r="R180" i="4"/>
  <c r="R205" i="4"/>
  <c r="R101" i="4"/>
  <c r="R41" i="4"/>
  <c r="R42" i="4"/>
  <c r="R27" i="4"/>
  <c r="R150" i="4"/>
  <c r="R204" i="4"/>
  <c r="R215" i="4"/>
  <c r="R218" i="4"/>
  <c r="R292" i="4"/>
  <c r="R125" i="4"/>
  <c r="R140" i="4"/>
  <c r="R144" i="4"/>
  <c r="R163" i="4"/>
  <c r="R230" i="4"/>
  <c r="R237" i="4"/>
  <c r="R114" i="4"/>
  <c r="R2" i="4"/>
  <c r="R253" i="4"/>
  <c r="R148" i="4"/>
  <c r="R153" i="4"/>
  <c r="R189" i="4"/>
  <c r="R71" i="4"/>
  <c r="R94" i="4"/>
  <c r="R112" i="4"/>
  <c r="R35" i="4"/>
  <c r="R174" i="4"/>
  <c r="R188" i="4"/>
  <c r="R158" i="4"/>
  <c r="R244" i="4"/>
  <c r="R96" i="4"/>
  <c r="R25" i="4"/>
  <c r="R145" i="4"/>
  <c r="R187" i="4"/>
  <c r="R172" i="4"/>
  <c r="R173" i="4"/>
  <c r="R185" i="4"/>
  <c r="R220" i="4"/>
  <c r="R97" i="4"/>
  <c r="R102" i="4"/>
  <c r="R130" i="4"/>
  <c r="R131" i="4"/>
  <c r="R132" i="4"/>
  <c r="R29" i="4"/>
  <c r="R135" i="4"/>
  <c r="R58" i="4"/>
  <c r="R221" i="4"/>
  <c r="R223" i="4"/>
  <c r="R40" i="4"/>
  <c r="R267" i="4"/>
  <c r="R258" i="4"/>
  <c r="R175" i="4"/>
  <c r="R91" i="4"/>
  <c r="R122" i="4"/>
  <c r="R233" i="4"/>
  <c r="R39" i="4"/>
  <c r="R92" i="4"/>
  <c r="R118" i="4"/>
  <c r="R136" i="4"/>
  <c r="R51" i="4"/>
  <c r="R260" i="4"/>
  <c r="R201" i="4"/>
  <c r="R225" i="4"/>
  <c r="R85" i="4"/>
  <c r="R18" i="4"/>
  <c r="R278" i="4"/>
  <c r="R127" i="4"/>
  <c r="R287" i="4"/>
  <c r="R232" i="4"/>
  <c r="R16" i="4"/>
  <c r="R129" i="4"/>
  <c r="R162" i="4"/>
  <c r="R285" i="4"/>
  <c r="R50" i="4"/>
  <c r="R161" i="4"/>
  <c r="R15" i="4"/>
  <c r="R168" i="4"/>
  <c r="R59" i="4"/>
  <c r="R60" i="4"/>
  <c r="R17" i="4"/>
  <c r="R19" i="4"/>
  <c r="R49" i="4"/>
  <c r="R146" i="4"/>
  <c r="R171" i="4"/>
  <c r="R106" i="4"/>
  <c r="R128" i="4"/>
  <c r="R53" i="4"/>
  <c r="R157" i="4"/>
  <c r="R7" i="4"/>
  <c r="R276" i="4"/>
  <c r="R277" i="4"/>
  <c r="R156" i="4"/>
  <c r="R166" i="4"/>
  <c r="Z357" i="4"/>
  <c r="Z358" i="4"/>
  <c r="Z368" i="4"/>
  <c r="U2" i="12"/>
  <c r="R283" i="4"/>
  <c r="R281" i="4"/>
  <c r="R141" i="4"/>
  <c r="R345" i="4"/>
  <c r="Q2" i="12"/>
  <c r="O2" i="12"/>
  <c r="N405" i="4"/>
  <c r="N395" i="4"/>
  <c r="M2" i="12"/>
  <c r="K2" i="12"/>
  <c r="J120" i="4"/>
  <c r="J261" i="4"/>
  <c r="J228" i="4"/>
  <c r="J229" i="4"/>
  <c r="J283" i="4"/>
  <c r="J119" i="4"/>
  <c r="J41" i="4"/>
  <c r="J22" i="4"/>
  <c r="J42" i="4"/>
  <c r="J24" i="4"/>
  <c r="J43" i="4"/>
  <c r="J26" i="4"/>
  <c r="J27" i="4"/>
  <c r="J28" i="4"/>
  <c r="J124" i="4"/>
  <c r="J30" i="4"/>
  <c r="J31" i="4"/>
  <c r="J32" i="4"/>
  <c r="J33" i="4"/>
  <c r="J35" i="4"/>
  <c r="J130" i="4"/>
  <c r="J131" i="4"/>
  <c r="J132" i="4"/>
  <c r="J147" i="4"/>
  <c r="J149" i="4"/>
  <c r="J52" i="4"/>
  <c r="J158" i="4"/>
  <c r="J60" i="4"/>
  <c r="J230" i="4"/>
  <c r="J40" i="4"/>
  <c r="J118" i="4"/>
  <c r="J23" i="4"/>
  <c r="J25" i="4"/>
  <c r="J34" i="4"/>
  <c r="J129" i="4"/>
  <c r="J49" i="4"/>
  <c r="J162" i="4"/>
  <c r="J127" i="4"/>
  <c r="J155" i="4"/>
  <c r="J236" i="4"/>
  <c r="J128" i="4"/>
  <c r="J293" i="4"/>
  <c r="J142" i="4"/>
  <c r="J151" i="4"/>
  <c r="J161" i="4"/>
  <c r="J172" i="4"/>
  <c r="J173" i="4"/>
  <c r="J58" i="4"/>
  <c r="J297" i="4"/>
  <c r="J61" i="4"/>
  <c r="J201" i="4"/>
  <c r="J214" i="4"/>
  <c r="J215" i="4"/>
  <c r="J217" i="4"/>
  <c r="J222" i="4"/>
  <c r="J226" i="4"/>
  <c r="J232" i="4"/>
  <c r="J300" i="4"/>
  <c r="J122" i="4"/>
  <c r="J171" i="4"/>
  <c r="J221" i="4"/>
  <c r="J76" i="4"/>
  <c r="J112" i="4"/>
  <c r="J113" i="4"/>
  <c r="J256" i="4"/>
  <c r="J144" i="4"/>
  <c r="J50" i="4"/>
  <c r="J37" i="4"/>
  <c r="J51" i="4"/>
  <c r="J157" i="4"/>
  <c r="J57" i="4"/>
  <c r="J59" i="4"/>
  <c r="J219" i="4"/>
  <c r="J71" i="4"/>
  <c r="J85" i="4"/>
  <c r="J116" i="4"/>
  <c r="J123" i="4"/>
  <c r="J12" i="4"/>
  <c r="J150" i="4"/>
  <c r="J169" i="4"/>
  <c r="J233" i="4"/>
  <c r="J114" i="4"/>
  <c r="J134" i="4"/>
  <c r="J218" i="4"/>
  <c r="J220" i="4"/>
  <c r="J224" i="4"/>
  <c r="J282" i="4"/>
  <c r="J84" i="4"/>
  <c r="J87" i="4"/>
  <c r="J115" i="4"/>
  <c r="J143" i="4"/>
  <c r="J148" i="4"/>
  <c r="J159" i="4"/>
  <c r="J279" i="4"/>
  <c r="J179" i="4"/>
  <c r="J63" i="4"/>
  <c r="J64" i="4"/>
  <c r="J65" i="4"/>
  <c r="J67" i="4"/>
  <c r="J68" i="4"/>
  <c r="J70" i="4"/>
  <c r="J77" i="4"/>
  <c r="J78" i="4"/>
  <c r="J80" i="4"/>
  <c r="J81" i="4"/>
  <c r="J83" i="4"/>
  <c r="J135" i="4"/>
  <c r="J187" i="4"/>
  <c r="J196" i="4"/>
  <c r="J205" i="4"/>
  <c r="J207" i="4"/>
  <c r="J208" i="4"/>
  <c r="J209" i="4"/>
  <c r="J299" i="4"/>
  <c r="J126" i="4"/>
  <c r="J160" i="4"/>
  <c r="J284" i="4"/>
  <c r="J136" i="4"/>
  <c r="J138" i="4"/>
  <c r="J184" i="4"/>
  <c r="J185" i="4"/>
  <c r="J186" i="4"/>
  <c r="J197" i="4"/>
  <c r="J281" i="4"/>
  <c r="J82" i="4"/>
  <c r="J18" i="4"/>
  <c r="J175" i="4"/>
  <c r="J188" i="4"/>
  <c r="J190" i="4"/>
  <c r="J263" i="4"/>
  <c r="J195" i="4"/>
  <c r="J199" i="4"/>
  <c r="J273" i="4"/>
  <c r="J274" i="4"/>
  <c r="J19" i="4"/>
  <c r="J152" i="4"/>
  <c r="J167" i="4"/>
  <c r="J54" i="4"/>
  <c r="J55" i="4"/>
  <c r="J56" i="4"/>
  <c r="J189" i="4"/>
  <c r="J202" i="4"/>
  <c r="J204" i="4"/>
  <c r="J265" i="4"/>
  <c r="J238" i="4"/>
  <c r="J240" i="4"/>
  <c r="J16" i="4"/>
  <c r="J117" i="4"/>
  <c r="J170" i="4"/>
  <c r="J180" i="4"/>
  <c r="J191" i="4"/>
  <c r="J192" i="4"/>
  <c r="J193" i="4"/>
  <c r="J75" i="4"/>
  <c r="J17" i="4"/>
  <c r="J139" i="4"/>
  <c r="J177" i="4"/>
  <c r="J234" i="4"/>
  <c r="J235" i="4"/>
  <c r="J79" i="4"/>
  <c r="J239" i="4"/>
  <c r="J275" i="4"/>
  <c r="J203" i="4"/>
  <c r="J237" i="4"/>
  <c r="J241" i="4"/>
  <c r="J242" i="4"/>
  <c r="J243" i="4"/>
  <c r="J258" i="4"/>
  <c r="J260" i="4"/>
  <c r="J194" i="4"/>
  <c r="J36" i="4"/>
  <c r="J262" i="4"/>
  <c r="J247" i="4"/>
  <c r="J93" i="4"/>
  <c r="J270" i="4"/>
  <c r="J47" i="4"/>
  <c r="J163" i="4"/>
  <c r="J165" i="4"/>
  <c r="J48" i="4"/>
  <c r="J277" i="4"/>
  <c r="J110" i="4"/>
  <c r="J216" i="4"/>
  <c r="J244" i="4"/>
  <c r="J245" i="4"/>
  <c r="J46" i="4"/>
  <c r="J269" i="4"/>
  <c r="J94" i="4"/>
  <c r="J213" i="4"/>
  <c r="J145" i="4"/>
  <c r="J246" i="4"/>
  <c r="J212" i="4"/>
  <c r="J251" i="4"/>
  <c r="J252" i="4"/>
  <c r="J102" i="4"/>
  <c r="J111" i="4"/>
  <c r="J248" i="4"/>
  <c r="J103" i="4"/>
  <c r="J272" i="4"/>
  <c r="J285" i="4"/>
  <c r="J72" i="4"/>
  <c r="J104" i="4"/>
  <c r="J250" i="4"/>
  <c r="J108" i="4"/>
  <c r="J90" i="4"/>
  <c r="J121" i="4"/>
  <c r="J89" i="4"/>
  <c r="J249" i="4"/>
  <c r="J91" i="4"/>
  <c r="J303" i="4"/>
  <c r="J92" i="4"/>
  <c r="J137" i="4"/>
  <c r="J53" i="4"/>
  <c r="J253" i="4"/>
  <c r="J88" i="4"/>
  <c r="J198" i="4"/>
  <c r="J176" i="4"/>
  <c r="J107" i="4"/>
  <c r="J96" i="4"/>
  <c r="J105" i="4"/>
  <c r="J125" i="4"/>
  <c r="J106" i="4"/>
  <c r="J97" i="4"/>
  <c r="J100" i="4"/>
  <c r="J140" i="4"/>
  <c r="J174" i="4"/>
  <c r="J101" i="4"/>
  <c r="J98" i="4"/>
  <c r="I2" i="12"/>
  <c r="H204" i="4"/>
  <c r="H203" i="4"/>
  <c r="G2" i="12"/>
  <c r="F2" i="4"/>
  <c r="F20" i="4"/>
  <c r="F95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7" i="4"/>
  <c r="F60" i="4"/>
  <c r="F39" i="4"/>
  <c r="F40" i="4"/>
  <c r="F23" i="4"/>
  <c r="F25" i="4"/>
  <c r="F34" i="4"/>
  <c r="F49" i="4"/>
  <c r="F155" i="4"/>
  <c r="F236" i="4"/>
  <c r="F293" i="4"/>
  <c r="F58" i="4"/>
  <c r="F297" i="4"/>
  <c r="F61" i="4"/>
  <c r="F214" i="4"/>
  <c r="F226" i="4"/>
  <c r="F300" i="4"/>
  <c r="F76" i="4"/>
  <c r="F112" i="4"/>
  <c r="F37" i="4"/>
  <c r="F14" i="4"/>
  <c r="F157" i="4"/>
  <c r="F57" i="4"/>
  <c r="F59" i="4"/>
  <c r="F288" i="4"/>
  <c r="F116" i="4"/>
  <c r="F220" i="4"/>
  <c r="F282" i="4"/>
  <c r="F84" i="4"/>
  <c r="F87" i="4"/>
  <c r="F115" i="4"/>
  <c r="F148" i="4"/>
  <c r="F179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5" i="4"/>
  <c r="F187" i="4"/>
  <c r="F196" i="4"/>
  <c r="F205" i="4"/>
  <c r="F206" i="4"/>
  <c r="F207" i="4"/>
  <c r="F208" i="4"/>
  <c r="F209" i="4"/>
  <c r="F298" i="4"/>
  <c r="F299" i="4"/>
  <c r="F126" i="4"/>
  <c r="F133" i="4"/>
  <c r="F160" i="4"/>
  <c r="F284" i="4"/>
  <c r="F136" i="4"/>
  <c r="F138" i="4"/>
  <c r="F184" i="4"/>
  <c r="F185" i="4"/>
  <c r="F186" i="4"/>
  <c r="F197" i="4"/>
  <c r="F82" i="4"/>
  <c r="F18" i="4"/>
  <c r="F175" i="4"/>
  <c r="F188" i="4"/>
  <c r="F190" i="4"/>
  <c r="F263" i="4"/>
  <c r="F195" i="4"/>
  <c r="F199" i="4"/>
  <c r="F273" i="4"/>
  <c r="F274" i="4"/>
  <c r="F19" i="4"/>
  <c r="F152" i="4"/>
  <c r="F167" i="4"/>
  <c r="F54" i="4"/>
  <c r="F55" i="4"/>
  <c r="F56" i="4"/>
  <c r="F286" i="4"/>
  <c r="F290" i="4"/>
  <c r="F189" i="4"/>
  <c r="F202" i="4"/>
  <c r="F204" i="4"/>
  <c r="F265" i="4"/>
  <c r="F238" i="4"/>
  <c r="F240" i="4"/>
  <c r="F16" i="4"/>
  <c r="F117" i="4"/>
  <c r="F301" i="4"/>
  <c r="F6" i="4"/>
  <c r="F8" i="4"/>
  <c r="F170" i="4"/>
  <c r="F291" i="4"/>
  <c r="F191" i="4"/>
  <c r="F192" i="4"/>
  <c r="F289" i="4"/>
  <c r="F193" i="4"/>
  <c r="F75" i="4"/>
  <c r="F17" i="4"/>
  <c r="F139" i="4"/>
  <c r="F302" i="4"/>
  <c r="F177" i="4"/>
  <c r="F234" i="4"/>
  <c r="F235" i="4"/>
  <c r="F79" i="4"/>
  <c r="F239" i="4"/>
  <c r="F13" i="4"/>
  <c r="F275" i="4"/>
  <c r="F203" i="4"/>
  <c r="F264" i="4"/>
  <c r="F237" i="4"/>
  <c r="F241" i="4"/>
  <c r="F242" i="4"/>
  <c r="F243" i="4"/>
  <c r="F153" i="4"/>
  <c r="F258" i="4"/>
  <c r="F164" i="4"/>
  <c r="F260" i="4"/>
  <c r="F36" i="4"/>
  <c r="F262" i="4"/>
  <c r="F247" i="4"/>
  <c r="F93" i="4"/>
  <c r="F270" i="4"/>
  <c r="F280" i="4"/>
  <c r="F156" i="4"/>
  <c r="F166" i="4"/>
  <c r="F47" i="4"/>
  <c r="F271" i="4"/>
  <c r="F163" i="4"/>
  <c r="F165" i="4"/>
  <c r="F277" i="4"/>
  <c r="F110" i="4"/>
  <c r="F216" i="4"/>
  <c r="F244" i="4"/>
  <c r="F245" i="4"/>
  <c r="F46" i="4"/>
  <c r="F94" i="4"/>
  <c r="F213" i="4"/>
  <c r="F145" i="4"/>
  <c r="F246" i="4"/>
  <c r="F109" i="4"/>
  <c r="F212" i="4"/>
  <c r="F251" i="4"/>
  <c r="F252" i="4"/>
  <c r="F102" i="4"/>
  <c r="F111" i="4"/>
  <c r="F248" i="4"/>
  <c r="F103" i="4"/>
  <c r="F285" i="4"/>
  <c r="F72" i="4"/>
  <c r="F104" i="4"/>
  <c r="F168" i="4"/>
  <c r="F250" i="4"/>
  <c r="F108" i="4"/>
  <c r="F154" i="4"/>
  <c r="F90" i="4"/>
  <c r="F121" i="4"/>
  <c r="F89" i="4"/>
  <c r="F249" i="4"/>
  <c r="F278" i="4"/>
  <c r="F91" i="4"/>
  <c r="F92" i="4"/>
  <c r="F137" i="4"/>
  <c r="F259" i="4"/>
  <c r="F53" i="4"/>
  <c r="F253" i="4"/>
  <c r="F88" i="4"/>
  <c r="F198" i="4"/>
  <c r="F176" i="4"/>
  <c r="F107" i="4"/>
  <c r="F96" i="4"/>
  <c r="F105" i="4"/>
  <c r="F125" i="4"/>
  <c r="F106" i="4"/>
  <c r="F97" i="4"/>
  <c r="F100" i="4"/>
  <c r="F140" i="4"/>
  <c r="F174" i="4"/>
  <c r="F101" i="4"/>
  <c r="F98" i="4"/>
  <c r="F99" i="4"/>
  <c r="F306" i="4"/>
  <c r="F307" i="4"/>
  <c r="F305" i="4"/>
  <c r="F304" i="4"/>
  <c r="F313" i="4"/>
  <c r="F315" i="4"/>
  <c r="F316" i="4"/>
  <c r="F317" i="4"/>
  <c r="F308" i="4"/>
  <c r="F309" i="4"/>
  <c r="F310" i="4"/>
  <c r="F311" i="4"/>
  <c r="F312" i="4"/>
  <c r="F319" i="4"/>
  <c r="F318" i="4"/>
  <c r="F340" i="4"/>
  <c r="F335" i="4"/>
  <c r="F333" i="4"/>
  <c r="F334" i="4"/>
  <c r="F346" i="4"/>
  <c r="F345" i="4"/>
  <c r="F343" i="4"/>
  <c r="F320" i="4"/>
  <c r="F349" i="4"/>
  <c r="F350" i="4"/>
  <c r="F341" i="4"/>
  <c r="F352" i="4"/>
  <c r="F344" i="4"/>
  <c r="F323" i="4"/>
  <c r="F325" i="4"/>
  <c r="F326" i="4"/>
  <c r="F327" i="4"/>
  <c r="F328" i="4"/>
  <c r="F348" i="4"/>
  <c r="F347" i="4"/>
  <c r="F351" i="4"/>
  <c r="F329" i="4"/>
  <c r="F330" i="4"/>
  <c r="F331" i="4"/>
  <c r="F332" i="4"/>
  <c r="F339" i="4"/>
  <c r="F342" i="4"/>
  <c r="F324" i="4"/>
  <c r="F321" i="4"/>
  <c r="F322" i="4"/>
  <c r="F338" i="4"/>
  <c r="F336" i="4"/>
  <c r="F337" i="4"/>
  <c r="F359" i="4"/>
  <c r="F353" i="4"/>
  <c r="F354" i="4"/>
  <c r="F355" i="4"/>
  <c r="F360" i="4"/>
  <c r="F361" i="4"/>
  <c r="F362" i="4"/>
  <c r="F363" i="4"/>
  <c r="F364" i="4"/>
  <c r="F365" i="4"/>
  <c r="F366" i="4"/>
  <c r="F367" i="4"/>
  <c r="F369" i="4"/>
  <c r="F370" i="4"/>
  <c r="F371" i="4"/>
  <c r="F373" i="4"/>
  <c r="F374" i="4"/>
  <c r="F372" i="4"/>
  <c r="F356" i="4"/>
  <c r="F357" i="4"/>
  <c r="F358" i="4"/>
  <c r="F368" i="4"/>
  <c r="F378" i="4"/>
  <c r="F376" i="4"/>
  <c r="F379" i="4"/>
  <c r="F385" i="4"/>
  <c r="F380" i="4"/>
  <c r="F375" i="4"/>
  <c r="F386" i="4"/>
  <c r="F381" i="4"/>
  <c r="F377" i="4"/>
  <c r="F387" i="4"/>
  <c r="F383" i="4"/>
  <c r="F393" i="4"/>
  <c r="F407" i="4"/>
  <c r="F405" i="4"/>
  <c r="F406" i="4"/>
  <c r="F396" i="4"/>
  <c r="F397" i="4"/>
  <c r="F398" i="4"/>
  <c r="F399" i="4"/>
  <c r="F417" i="4"/>
  <c r="F408" i="4"/>
  <c r="F409" i="4"/>
  <c r="F410" i="4"/>
  <c r="F411" i="4"/>
  <c r="F400" i="4"/>
  <c r="F402" i="4"/>
  <c r="F403" i="4"/>
  <c r="F412" i="4"/>
  <c r="F394" i="4"/>
  <c r="F413" i="4"/>
  <c r="F404" i="4"/>
  <c r="F395" i="4"/>
  <c r="F414" i="4"/>
  <c r="F415" i="4"/>
  <c r="F416" i="4"/>
  <c r="F401" i="4"/>
  <c r="E2" i="12"/>
  <c r="C2" i="12"/>
  <c r="E2" i="4"/>
  <c r="E20" i="4"/>
  <c r="E95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7" i="4"/>
  <c r="E60" i="4"/>
  <c r="E39" i="4"/>
  <c r="E40" i="4"/>
  <c r="E23" i="4"/>
  <c r="E25" i="4"/>
  <c r="E34" i="4"/>
  <c r="E49" i="4"/>
  <c r="E155" i="4"/>
  <c r="E236" i="4"/>
  <c r="E293" i="4"/>
  <c r="E58" i="4"/>
  <c r="E297" i="4"/>
  <c r="E61" i="4"/>
  <c r="E214" i="4"/>
  <c r="E226" i="4"/>
  <c r="E300" i="4"/>
  <c r="E76" i="4"/>
  <c r="E112" i="4"/>
  <c r="E37" i="4"/>
  <c r="E14" i="4"/>
  <c r="E157" i="4"/>
  <c r="E57" i="4"/>
  <c r="E59" i="4"/>
  <c r="E288" i="4"/>
  <c r="E116" i="4"/>
  <c r="E220" i="4"/>
  <c r="E282" i="4"/>
  <c r="E84" i="4"/>
  <c r="E87" i="4"/>
  <c r="E115" i="4"/>
  <c r="E148" i="4"/>
  <c r="E179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5" i="4"/>
  <c r="E187" i="4"/>
  <c r="E196" i="4"/>
  <c r="E205" i="4"/>
  <c r="E206" i="4"/>
  <c r="E207" i="4"/>
  <c r="E208" i="4"/>
  <c r="E209" i="4"/>
  <c r="E298" i="4"/>
  <c r="E299" i="4"/>
  <c r="E126" i="4"/>
  <c r="E133" i="4"/>
  <c r="E160" i="4"/>
  <c r="E284" i="4"/>
  <c r="E136" i="4"/>
  <c r="E138" i="4"/>
  <c r="E184" i="4"/>
  <c r="E185" i="4"/>
  <c r="E186" i="4"/>
  <c r="E197" i="4"/>
  <c r="E82" i="4"/>
  <c r="E18" i="4"/>
  <c r="E175" i="4"/>
  <c r="E188" i="4"/>
  <c r="E190" i="4"/>
  <c r="E263" i="4"/>
  <c r="E195" i="4"/>
  <c r="E199" i="4"/>
  <c r="E273" i="4"/>
  <c r="E274" i="4"/>
  <c r="E19" i="4"/>
  <c r="E152" i="4"/>
  <c r="E167" i="4"/>
  <c r="E54" i="4"/>
  <c r="E55" i="4"/>
  <c r="E56" i="4"/>
  <c r="E286" i="4"/>
  <c r="E290" i="4"/>
  <c r="E189" i="4"/>
  <c r="E202" i="4"/>
  <c r="E204" i="4"/>
  <c r="E265" i="4"/>
  <c r="E238" i="4"/>
  <c r="E240" i="4"/>
  <c r="E16" i="4"/>
  <c r="E117" i="4"/>
  <c r="E301" i="4"/>
  <c r="E6" i="4"/>
  <c r="E8" i="4"/>
  <c r="E170" i="4"/>
  <c r="E291" i="4"/>
  <c r="E191" i="4"/>
  <c r="E192" i="4"/>
  <c r="E289" i="4"/>
  <c r="E193" i="4"/>
  <c r="E75" i="4"/>
  <c r="E17" i="4"/>
  <c r="E139" i="4"/>
  <c r="E302" i="4"/>
  <c r="E177" i="4"/>
  <c r="E234" i="4"/>
  <c r="E235" i="4"/>
  <c r="E79" i="4"/>
  <c r="E239" i="4"/>
  <c r="E13" i="4"/>
  <c r="E275" i="4"/>
  <c r="E203" i="4"/>
  <c r="E264" i="4"/>
  <c r="E237" i="4"/>
  <c r="E241" i="4"/>
  <c r="E242" i="4"/>
  <c r="E243" i="4"/>
  <c r="E153" i="4"/>
  <c r="E258" i="4"/>
  <c r="E164" i="4"/>
  <c r="E260" i="4"/>
  <c r="E36" i="4"/>
  <c r="E262" i="4"/>
  <c r="E247" i="4"/>
  <c r="E93" i="4"/>
  <c r="E270" i="4"/>
  <c r="E280" i="4"/>
  <c r="E156" i="4"/>
  <c r="E166" i="4"/>
  <c r="E47" i="4"/>
  <c r="E271" i="4"/>
  <c r="E163" i="4"/>
  <c r="E165" i="4"/>
  <c r="E277" i="4"/>
  <c r="E110" i="4"/>
  <c r="E216" i="4"/>
  <c r="E244" i="4"/>
  <c r="E245" i="4"/>
  <c r="E46" i="4"/>
  <c r="E94" i="4"/>
  <c r="E213" i="4"/>
  <c r="E145" i="4"/>
  <c r="E246" i="4"/>
  <c r="E109" i="4"/>
  <c r="E212" i="4"/>
  <c r="E251" i="4"/>
  <c r="E252" i="4"/>
  <c r="E102" i="4"/>
  <c r="E111" i="4"/>
  <c r="E248" i="4"/>
  <c r="E103" i="4"/>
  <c r="E285" i="4"/>
  <c r="E72" i="4"/>
  <c r="E104" i="4"/>
  <c r="E168" i="4"/>
  <c r="E250" i="4"/>
  <c r="E108" i="4"/>
  <c r="E154" i="4"/>
  <c r="E90" i="4"/>
  <c r="E121" i="4"/>
  <c r="E89" i="4"/>
  <c r="E249" i="4"/>
  <c r="E278" i="4"/>
  <c r="E91" i="4"/>
  <c r="E92" i="4"/>
  <c r="E137" i="4"/>
  <c r="E259" i="4"/>
  <c r="E53" i="4"/>
  <c r="E253" i="4"/>
  <c r="E88" i="4"/>
  <c r="E198" i="4"/>
  <c r="E176" i="4"/>
  <c r="E107" i="4"/>
  <c r="E96" i="4"/>
  <c r="E105" i="4"/>
  <c r="E125" i="4"/>
  <c r="E106" i="4"/>
  <c r="E97" i="4"/>
  <c r="E100" i="4"/>
  <c r="E140" i="4"/>
  <c r="E174" i="4"/>
  <c r="E101" i="4"/>
  <c r="E98" i="4"/>
  <c r="E99" i="4"/>
  <c r="E306" i="4"/>
  <c r="E307" i="4"/>
  <c r="E305" i="4"/>
  <c r="E304" i="4"/>
  <c r="E313" i="4"/>
  <c r="E315" i="4"/>
  <c r="E316" i="4"/>
  <c r="E317" i="4"/>
  <c r="E308" i="4"/>
  <c r="E309" i="4"/>
  <c r="E310" i="4"/>
  <c r="E311" i="4"/>
  <c r="E312" i="4"/>
  <c r="E319" i="4"/>
  <c r="E318" i="4"/>
  <c r="E340" i="4"/>
  <c r="E335" i="4"/>
  <c r="E333" i="4"/>
  <c r="E334" i="4"/>
  <c r="E346" i="4"/>
  <c r="E345" i="4"/>
  <c r="E343" i="4"/>
  <c r="E320" i="4"/>
  <c r="E349" i="4"/>
  <c r="E350" i="4"/>
  <c r="E341" i="4"/>
  <c r="E352" i="4"/>
  <c r="E344" i="4"/>
  <c r="E323" i="4"/>
  <c r="E325" i="4"/>
  <c r="E326" i="4"/>
  <c r="E327" i="4"/>
  <c r="E328" i="4"/>
  <c r="E348" i="4"/>
  <c r="E347" i="4"/>
  <c r="E351" i="4"/>
  <c r="E329" i="4"/>
  <c r="E330" i="4"/>
  <c r="E331" i="4"/>
  <c r="E332" i="4"/>
  <c r="E339" i="4"/>
  <c r="E342" i="4"/>
  <c r="E324" i="4"/>
  <c r="E321" i="4"/>
  <c r="E322" i="4"/>
  <c r="E338" i="4"/>
  <c r="E336" i="4"/>
  <c r="E337" i="4"/>
  <c r="E359" i="4"/>
  <c r="E353" i="4"/>
  <c r="E354" i="4"/>
  <c r="E355" i="4"/>
  <c r="E360" i="4"/>
  <c r="E361" i="4"/>
  <c r="E362" i="4"/>
  <c r="E363" i="4"/>
  <c r="E364" i="4"/>
  <c r="E365" i="4"/>
  <c r="E366" i="4"/>
  <c r="E367" i="4"/>
  <c r="E369" i="4"/>
  <c r="E370" i="4"/>
  <c r="E371" i="4"/>
  <c r="E373" i="4"/>
  <c r="E374" i="4"/>
  <c r="E372" i="4"/>
  <c r="E356" i="4"/>
  <c r="E357" i="4"/>
  <c r="E358" i="4"/>
  <c r="E368" i="4"/>
  <c r="E378" i="4"/>
  <c r="E376" i="4"/>
  <c r="E379" i="4"/>
  <c r="E385" i="4"/>
  <c r="E380" i="4"/>
  <c r="E375" i="4"/>
  <c r="E386" i="4"/>
  <c r="E381" i="4"/>
  <c r="E377" i="4"/>
  <c r="E387" i="4"/>
  <c r="E383" i="4"/>
  <c r="E393" i="4"/>
  <c r="E407" i="4"/>
  <c r="E405" i="4"/>
  <c r="E406" i="4"/>
  <c r="E396" i="4"/>
  <c r="E397" i="4"/>
  <c r="E398" i="4"/>
  <c r="E399" i="4"/>
  <c r="E417" i="4"/>
  <c r="E408" i="4"/>
  <c r="E409" i="4"/>
  <c r="E410" i="4"/>
  <c r="E411" i="4"/>
  <c r="E400" i="4"/>
  <c r="E402" i="4"/>
  <c r="E403" i="4"/>
  <c r="E412" i="4"/>
  <c r="E394" i="4"/>
  <c r="E413" i="4"/>
  <c r="E404" i="4"/>
  <c r="E395" i="4"/>
  <c r="E414" i="4"/>
  <c r="E415" i="4"/>
  <c r="E416" i="4"/>
  <c r="E401" i="4"/>
  <c r="D2" i="12"/>
  <c r="F2" i="12"/>
  <c r="I120" i="4"/>
  <c r="I261" i="4"/>
  <c r="I228" i="4"/>
  <c r="I229" i="4"/>
  <c r="I283" i="4"/>
  <c r="I119" i="4"/>
  <c r="I41" i="4"/>
  <c r="I22" i="4"/>
  <c r="I42" i="4"/>
  <c r="I24" i="4"/>
  <c r="I43" i="4"/>
  <c r="I26" i="4"/>
  <c r="I27" i="4"/>
  <c r="I28" i="4"/>
  <c r="I124" i="4"/>
  <c r="I30" i="4"/>
  <c r="I31" i="4"/>
  <c r="I32" i="4"/>
  <c r="I33" i="4"/>
  <c r="I35" i="4"/>
  <c r="I130" i="4"/>
  <c r="I131" i="4"/>
  <c r="I132" i="4"/>
  <c r="I147" i="4"/>
  <c r="I149" i="4"/>
  <c r="I52" i="4"/>
  <c r="I158" i="4"/>
  <c r="I60" i="4"/>
  <c r="I230" i="4"/>
  <c r="I40" i="4"/>
  <c r="I118" i="4"/>
  <c r="I23" i="4"/>
  <c r="I25" i="4"/>
  <c r="I34" i="4"/>
  <c r="I129" i="4"/>
  <c r="I49" i="4"/>
  <c r="I162" i="4"/>
  <c r="I127" i="4"/>
  <c r="I155" i="4"/>
  <c r="I236" i="4"/>
  <c r="I128" i="4"/>
  <c r="I142" i="4"/>
  <c r="I151" i="4"/>
  <c r="I161" i="4"/>
  <c r="I172" i="4"/>
  <c r="I173" i="4"/>
  <c r="I58" i="4"/>
  <c r="I61" i="4"/>
  <c r="I201" i="4"/>
  <c r="I214" i="4"/>
  <c r="I215" i="4"/>
  <c r="I217" i="4"/>
  <c r="I222" i="4"/>
  <c r="I226" i="4"/>
  <c r="I232" i="4"/>
  <c r="I122" i="4"/>
  <c r="I171" i="4"/>
  <c r="I221" i="4"/>
  <c r="I76" i="4"/>
  <c r="I112" i="4"/>
  <c r="I113" i="4"/>
  <c r="I256" i="4"/>
  <c r="I144" i="4"/>
  <c r="I50" i="4"/>
  <c r="I37" i="4"/>
  <c r="I51" i="4"/>
  <c r="I157" i="4"/>
  <c r="I57" i="4"/>
  <c r="I59" i="4"/>
  <c r="I219" i="4"/>
  <c r="I71" i="4"/>
  <c r="I227" i="4"/>
  <c r="I85" i="4"/>
  <c r="I116" i="4"/>
  <c r="I123" i="4"/>
  <c r="I12" i="4"/>
  <c r="I150" i="4"/>
  <c r="I169" i="4"/>
  <c r="I233" i="4"/>
  <c r="I114" i="4"/>
  <c r="I134" i="4"/>
  <c r="I218" i="4"/>
  <c r="I220" i="4"/>
  <c r="I224" i="4"/>
  <c r="I282" i="4"/>
  <c r="I84" i="4"/>
  <c r="I87" i="4"/>
  <c r="I115" i="4"/>
  <c r="I143" i="4"/>
  <c r="I148" i="4"/>
  <c r="I159" i="4"/>
  <c r="I279" i="4"/>
  <c r="I179" i="4"/>
  <c r="I63" i="4"/>
  <c r="I64" i="4"/>
  <c r="I65" i="4"/>
  <c r="I67" i="4"/>
  <c r="I68" i="4"/>
  <c r="I70" i="4"/>
  <c r="I77" i="4"/>
  <c r="I78" i="4"/>
  <c r="I80" i="4"/>
  <c r="I81" i="4"/>
  <c r="I83" i="4"/>
  <c r="I135" i="4"/>
  <c r="I187" i="4"/>
  <c r="I196" i="4"/>
  <c r="I205" i="4"/>
  <c r="I207" i="4"/>
  <c r="I208" i="4"/>
  <c r="I209" i="4"/>
  <c r="I299" i="4"/>
  <c r="I126" i="4"/>
  <c r="I160" i="4"/>
  <c r="I284" i="4"/>
  <c r="I136" i="4"/>
  <c r="I138" i="4"/>
  <c r="I184" i="4"/>
  <c r="I185" i="4"/>
  <c r="I186" i="4"/>
  <c r="I197" i="4"/>
  <c r="I82" i="4"/>
  <c r="I18" i="4"/>
  <c r="I175" i="4"/>
  <c r="I188" i="4"/>
  <c r="I190" i="4"/>
  <c r="I263" i="4"/>
  <c r="I195" i="4"/>
  <c r="I199" i="4"/>
  <c r="I273" i="4"/>
  <c r="I274" i="4"/>
  <c r="I19" i="4"/>
  <c r="I152" i="4"/>
  <c r="I167" i="4"/>
  <c r="I54" i="4"/>
  <c r="I55" i="4"/>
  <c r="I56" i="4"/>
  <c r="I189" i="4"/>
  <c r="I202" i="4"/>
  <c r="I204" i="4"/>
  <c r="I265" i="4"/>
  <c r="I238" i="4"/>
  <c r="I240" i="4"/>
  <c r="I16" i="4"/>
  <c r="I117" i="4"/>
  <c r="I170" i="4"/>
  <c r="I180" i="4"/>
  <c r="I191" i="4"/>
  <c r="I192" i="4"/>
  <c r="I193" i="4"/>
  <c r="I75" i="4"/>
  <c r="I17" i="4"/>
  <c r="I139" i="4"/>
  <c r="I177" i="4"/>
  <c r="I234" i="4"/>
  <c r="I235" i="4"/>
  <c r="I79" i="4"/>
  <c r="I239" i="4"/>
  <c r="I275" i="4"/>
  <c r="I203" i="4"/>
  <c r="I237" i="4"/>
  <c r="I241" i="4"/>
  <c r="I242" i="4"/>
  <c r="I243" i="4"/>
  <c r="I258" i="4"/>
  <c r="I260" i="4"/>
  <c r="I194" i="4"/>
  <c r="I36" i="4"/>
  <c r="I262" i="4"/>
  <c r="I247" i="4"/>
  <c r="I93" i="4"/>
  <c r="I270" i="4"/>
  <c r="I47" i="4"/>
  <c r="I163" i="4"/>
  <c r="I165" i="4"/>
  <c r="I48" i="4"/>
  <c r="I277" i="4"/>
  <c r="I110" i="4"/>
  <c r="I216" i="4"/>
  <c r="I244" i="4"/>
  <c r="I245" i="4"/>
  <c r="I46" i="4"/>
  <c r="I269" i="4"/>
  <c r="I94" i="4"/>
  <c r="I213" i="4"/>
  <c r="I145" i="4"/>
  <c r="I246" i="4"/>
  <c r="I212" i="4"/>
  <c r="I251" i="4"/>
  <c r="I252" i="4"/>
  <c r="I102" i="4"/>
  <c r="I111" i="4"/>
  <c r="I248" i="4"/>
  <c r="I103" i="4"/>
  <c r="I272" i="4"/>
  <c r="I285" i="4"/>
  <c r="I72" i="4"/>
  <c r="I104" i="4"/>
  <c r="I250" i="4"/>
  <c r="I108" i="4"/>
  <c r="I90" i="4"/>
  <c r="I121" i="4"/>
  <c r="I89" i="4"/>
  <c r="I249" i="4"/>
  <c r="I91" i="4"/>
  <c r="I303" i="4"/>
  <c r="I92" i="4"/>
  <c r="I137" i="4"/>
  <c r="I53" i="4"/>
  <c r="I253" i="4"/>
  <c r="I88" i="4"/>
  <c r="I198" i="4"/>
  <c r="I176" i="4"/>
  <c r="I107" i="4"/>
  <c r="I96" i="4"/>
  <c r="I105" i="4"/>
  <c r="I125" i="4"/>
  <c r="I106" i="4"/>
  <c r="I97" i="4"/>
  <c r="I100" i="4"/>
  <c r="I140" i="4"/>
  <c r="I174" i="4"/>
  <c r="I101" i="4"/>
  <c r="I98" i="4"/>
  <c r="H2" i="12"/>
  <c r="J2" i="12"/>
  <c r="M288" i="4"/>
  <c r="M286" i="4"/>
  <c r="M5" i="4"/>
  <c r="M6" i="4"/>
  <c r="M8" i="4"/>
  <c r="M291" i="4"/>
  <c r="M289" i="4"/>
  <c r="M45" i="4"/>
  <c r="M393" i="4"/>
  <c r="M407" i="4"/>
  <c r="M405" i="4"/>
  <c r="M406" i="4"/>
  <c r="M396" i="4"/>
  <c r="M397" i="4"/>
  <c r="M398" i="4"/>
  <c r="M399" i="4"/>
  <c r="M417" i="4"/>
  <c r="M408" i="4"/>
  <c r="M409" i="4"/>
  <c r="M410" i="4"/>
  <c r="M411" i="4"/>
  <c r="M400" i="4"/>
  <c r="M402" i="4"/>
  <c r="M403" i="4"/>
  <c r="M412" i="4"/>
  <c r="M394" i="4"/>
  <c r="M413" i="4"/>
  <c r="M404" i="4"/>
  <c r="M395" i="4"/>
  <c r="M414" i="4"/>
  <c r="M415" i="4"/>
  <c r="M416" i="4"/>
  <c r="M401" i="4"/>
  <c r="L2" i="12"/>
  <c r="N2" i="12"/>
  <c r="Q283" i="4"/>
  <c r="Q281" i="4"/>
  <c r="Q141" i="4"/>
  <c r="P2" i="12"/>
  <c r="R2" i="12"/>
  <c r="V2" i="12"/>
  <c r="Y349" i="4"/>
  <c r="Y368" i="4"/>
  <c r="B391" i="4"/>
  <c r="C391" i="4"/>
  <c r="B390" i="4"/>
  <c r="C390" i="4"/>
  <c r="B388" i="4"/>
  <c r="C388" i="4"/>
  <c r="C39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89" i="6"/>
  <c r="AH389" i="6"/>
  <c r="AG392" i="6"/>
  <c r="AH392" i="6"/>
  <c r="AG388" i="6"/>
  <c r="AH388" i="6"/>
  <c r="AG391" i="6"/>
  <c r="AH391" i="6"/>
  <c r="AG390" i="6"/>
  <c r="AH390" i="6"/>
  <c r="AG416" i="6"/>
  <c r="AH416" i="6"/>
  <c r="AG394" i="6"/>
  <c r="AH394" i="6"/>
  <c r="AG415" i="6"/>
  <c r="AH415" i="6"/>
  <c r="AG414" i="6"/>
  <c r="AH414" i="6"/>
  <c r="AG397" i="6"/>
  <c r="AH397" i="6"/>
  <c r="AG398" i="6"/>
  <c r="AH398" i="6"/>
  <c r="AG399" i="6"/>
  <c r="AH399" i="6"/>
  <c r="AG400" i="6"/>
  <c r="AH400" i="6"/>
  <c r="AG401" i="6"/>
  <c r="AH401" i="6"/>
  <c r="AG396" i="6"/>
  <c r="AH396" i="6"/>
  <c r="AG412" i="6"/>
  <c r="AH412" i="6"/>
  <c r="AG402" i="6"/>
  <c r="AH402" i="6"/>
  <c r="AG403" i="6"/>
  <c r="AH403" i="6"/>
  <c r="AG404" i="6"/>
  <c r="AH404" i="6"/>
  <c r="AG405" i="6"/>
  <c r="AH405" i="6"/>
  <c r="AG406" i="6"/>
  <c r="AH406" i="6"/>
  <c r="AG407" i="6"/>
  <c r="AH407" i="6"/>
  <c r="AG393" i="6"/>
  <c r="AH393" i="6"/>
  <c r="AG413" i="6"/>
  <c r="AH413" i="6"/>
  <c r="AG408" i="6"/>
  <c r="AH408" i="6"/>
  <c r="AG395" i="6"/>
  <c r="AH395" i="6"/>
  <c r="AG417" i="6"/>
  <c r="AH417" i="6"/>
  <c r="AG409" i="6"/>
  <c r="AH409" i="6"/>
  <c r="AG410" i="6"/>
  <c r="AH410" i="6"/>
  <c r="AG411" i="6"/>
  <c r="AH411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89" i="6"/>
  <c r="AF392" i="6"/>
  <c r="AF388" i="6"/>
  <c r="AF391" i="6"/>
  <c r="AF390" i="6"/>
  <c r="AF416" i="6"/>
  <c r="AF394" i="6"/>
  <c r="AF415" i="6"/>
  <c r="AF414" i="6"/>
  <c r="AF397" i="6"/>
  <c r="AF398" i="6"/>
  <c r="AF399" i="6"/>
  <c r="AF400" i="6"/>
  <c r="AF401" i="6"/>
  <c r="AF396" i="6"/>
  <c r="AF412" i="6"/>
  <c r="AF402" i="6"/>
  <c r="AF403" i="6"/>
  <c r="AF404" i="6"/>
  <c r="AF405" i="6"/>
  <c r="AF406" i="6"/>
  <c r="AF407" i="6"/>
  <c r="AF393" i="6"/>
  <c r="AF413" i="6"/>
  <c r="AF408" i="6"/>
  <c r="AF395" i="6"/>
  <c r="AF417" i="6"/>
  <c r="AF409" i="6"/>
  <c r="AF410" i="6"/>
  <c r="AF411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89" i="6"/>
  <c r="AC389" i="6"/>
  <c r="AD389" i="6"/>
  <c r="AE389" i="6"/>
  <c r="AB392" i="6"/>
  <c r="AC392" i="6"/>
  <c r="AD392" i="6"/>
  <c r="AE392" i="6"/>
  <c r="AB388" i="6"/>
  <c r="AC388" i="6"/>
  <c r="AD388" i="6"/>
  <c r="AE388" i="6"/>
  <c r="AB391" i="6"/>
  <c r="AC391" i="6"/>
  <c r="AD391" i="6"/>
  <c r="AE391" i="6"/>
  <c r="AB390" i="6"/>
  <c r="AC390" i="6"/>
  <c r="AD390" i="6"/>
  <c r="AE390" i="6"/>
  <c r="AB416" i="6"/>
  <c r="AC416" i="6"/>
  <c r="AD416" i="6"/>
  <c r="AE416" i="6"/>
  <c r="AB394" i="6"/>
  <c r="AC394" i="6"/>
  <c r="AD394" i="6"/>
  <c r="AE394" i="6"/>
  <c r="AB415" i="6"/>
  <c r="AC415" i="6"/>
  <c r="AD415" i="6"/>
  <c r="AE415" i="6"/>
  <c r="AB414" i="6"/>
  <c r="AC414" i="6"/>
  <c r="AD414" i="6"/>
  <c r="AE414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96" i="6"/>
  <c r="AC396" i="6"/>
  <c r="AD396" i="6"/>
  <c r="AE396" i="6"/>
  <c r="AB412" i="6"/>
  <c r="AC412" i="6"/>
  <c r="AD412" i="6"/>
  <c r="AE412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393" i="6"/>
  <c r="AC393" i="6"/>
  <c r="AD393" i="6"/>
  <c r="AE393" i="6"/>
  <c r="AB413" i="6"/>
  <c r="AC413" i="6"/>
  <c r="AD413" i="6"/>
  <c r="AE413" i="6"/>
  <c r="AB408" i="6"/>
  <c r="AC408" i="6"/>
  <c r="AD408" i="6"/>
  <c r="AE408" i="6"/>
  <c r="AB395" i="6"/>
  <c r="AC395" i="6"/>
  <c r="AD395" i="6"/>
  <c r="AE395" i="6"/>
  <c r="AB417" i="6"/>
  <c r="AC417" i="6"/>
  <c r="AD417" i="6"/>
  <c r="AE417" i="6"/>
  <c r="AB409" i="6"/>
  <c r="AC409" i="6"/>
  <c r="AD409" i="6"/>
  <c r="AE409" i="6"/>
  <c r="AB410" i="6"/>
  <c r="AC410" i="6"/>
  <c r="AD410" i="6"/>
  <c r="AE410" i="6"/>
  <c r="AB411" i="6"/>
  <c r="AC411" i="6"/>
  <c r="AD411" i="6"/>
  <c r="AE411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89" i="6"/>
  <c r="W389" i="6"/>
  <c r="X389" i="6"/>
  <c r="Y389" i="6"/>
  <c r="V392" i="6"/>
  <c r="W392" i="6"/>
  <c r="X392" i="6"/>
  <c r="Y392" i="6"/>
  <c r="V388" i="6"/>
  <c r="W388" i="6"/>
  <c r="X388" i="6"/>
  <c r="Y388" i="6"/>
  <c r="V391" i="6"/>
  <c r="W391" i="6"/>
  <c r="X391" i="6"/>
  <c r="Y391" i="6"/>
  <c r="V390" i="6"/>
  <c r="W390" i="6"/>
  <c r="X390" i="6"/>
  <c r="Y390" i="6"/>
  <c r="V416" i="6"/>
  <c r="W416" i="6"/>
  <c r="X416" i="6"/>
  <c r="Y416" i="6"/>
  <c r="V394" i="6"/>
  <c r="W394" i="6"/>
  <c r="X394" i="6"/>
  <c r="Y394" i="6"/>
  <c r="V415" i="6"/>
  <c r="W415" i="6"/>
  <c r="X415" i="6"/>
  <c r="Y415" i="6"/>
  <c r="V414" i="6"/>
  <c r="W414" i="6"/>
  <c r="X414" i="6"/>
  <c r="Y414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96" i="6"/>
  <c r="W396" i="6"/>
  <c r="X396" i="6"/>
  <c r="Y396" i="6"/>
  <c r="V412" i="6"/>
  <c r="W412" i="6"/>
  <c r="X412" i="6"/>
  <c r="Y412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393" i="6"/>
  <c r="W393" i="6"/>
  <c r="X393" i="6"/>
  <c r="Y393" i="6"/>
  <c r="V413" i="6"/>
  <c r="W413" i="6"/>
  <c r="X413" i="6"/>
  <c r="Y413" i="6"/>
  <c r="V408" i="6"/>
  <c r="W408" i="6"/>
  <c r="X408" i="6"/>
  <c r="Y408" i="6"/>
  <c r="V395" i="6"/>
  <c r="W395" i="6"/>
  <c r="X395" i="6"/>
  <c r="Y395" i="6"/>
  <c r="V417" i="6"/>
  <c r="W417" i="6"/>
  <c r="X417" i="6"/>
  <c r="Y417" i="6"/>
  <c r="V409" i="6"/>
  <c r="W409" i="6"/>
  <c r="X409" i="6"/>
  <c r="Y409" i="6"/>
  <c r="V410" i="6"/>
  <c r="W410" i="6"/>
  <c r="X410" i="6"/>
  <c r="Y410" i="6"/>
  <c r="V411" i="6"/>
  <c r="W411" i="6"/>
  <c r="X411" i="6"/>
  <c r="Y411" i="6"/>
  <c r="C414" i="6"/>
  <c r="C156" i="6"/>
  <c r="C116" i="6"/>
  <c r="C115" i="6"/>
  <c r="C395" i="6"/>
  <c r="C330" i="6"/>
  <c r="C397" i="6"/>
  <c r="C405" i="6"/>
  <c r="C407" i="6"/>
  <c r="C135" i="6"/>
  <c r="C117" i="6"/>
  <c r="C290" i="6"/>
  <c r="C6" i="6"/>
  <c r="C34" i="6"/>
  <c r="C7" i="6"/>
  <c r="C394" i="6"/>
  <c r="C413" i="6"/>
  <c r="C176" i="6"/>
  <c r="C393" i="6"/>
  <c r="C284" i="6"/>
  <c r="C180" i="6"/>
  <c r="C225" i="6"/>
  <c r="C340" i="6"/>
  <c r="C130" i="6"/>
  <c r="C5" i="6"/>
  <c r="C4" i="6"/>
  <c r="C3" i="6"/>
  <c r="C345" i="6"/>
  <c r="C402" i="6"/>
  <c r="C410" i="6"/>
  <c r="C2" i="6"/>
  <c r="C114" i="6"/>
  <c r="C288" i="6"/>
  <c r="C338" i="6"/>
  <c r="C10" i="6"/>
  <c r="C377" i="6"/>
  <c r="C382" i="6"/>
  <c r="C375" i="6"/>
  <c r="C364" i="6"/>
  <c r="C417" i="6"/>
  <c r="C30" i="6"/>
  <c r="C154" i="6"/>
  <c r="C412" i="6"/>
  <c r="C40" i="6"/>
  <c r="C45" i="6"/>
  <c r="C396" i="6"/>
  <c r="C11" i="6"/>
  <c r="C201" i="6"/>
  <c r="C256" i="6"/>
  <c r="C363" i="6"/>
  <c r="C27" i="6"/>
  <c r="C416" i="6"/>
  <c r="C398" i="6"/>
  <c r="C400" i="6"/>
  <c r="C403" i="6"/>
  <c r="C404" i="6"/>
  <c r="C406" i="6"/>
  <c r="C411" i="6"/>
  <c r="C277" i="6"/>
  <c r="C289" i="6"/>
  <c r="C408" i="6"/>
  <c r="C275" i="6"/>
  <c r="C336" i="6"/>
  <c r="C29" i="6"/>
  <c r="C409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1" i="6"/>
  <c r="C61" i="6"/>
  <c r="C297" i="6"/>
  <c r="C16" i="6"/>
  <c r="C18" i="6"/>
  <c r="C252" i="6"/>
  <c r="C12" i="6"/>
  <c r="C372" i="6"/>
  <c r="C415" i="6"/>
  <c r="C262" i="6"/>
  <c r="C389" i="6"/>
  <c r="C231" i="6"/>
  <c r="C365" i="6"/>
  <c r="C80" i="6"/>
  <c r="C239" i="6"/>
  <c r="C228" i="6"/>
  <c r="C132" i="6"/>
  <c r="C15" i="6"/>
  <c r="C25" i="6"/>
  <c r="C43" i="6"/>
  <c r="C20" i="6"/>
  <c r="C327" i="6"/>
  <c r="C399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2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0" i="6"/>
  <c r="C73" i="6"/>
  <c r="C14" i="6"/>
  <c r="C391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8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8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1" i="6"/>
  <c r="B14" i="6"/>
  <c r="B73" i="6"/>
  <c r="B390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2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399" i="6"/>
  <c r="B327" i="6"/>
  <c r="B20" i="6"/>
  <c r="B43" i="6"/>
  <c r="B25" i="6"/>
  <c r="B15" i="6"/>
  <c r="B132" i="6"/>
  <c r="B228" i="6"/>
  <c r="B239" i="6"/>
  <c r="B80" i="6"/>
  <c r="B365" i="6"/>
  <c r="B231" i="6"/>
  <c r="B389" i="6"/>
  <c r="B262" i="6"/>
  <c r="B415" i="6"/>
  <c r="B372" i="6"/>
  <c r="B12" i="6"/>
  <c r="B252" i="6"/>
  <c r="B18" i="6"/>
  <c r="B16" i="6"/>
  <c r="B297" i="6"/>
  <c r="B61" i="6"/>
  <c r="B401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09" i="6"/>
  <c r="B29" i="6"/>
  <c r="B336" i="6"/>
  <c r="B275" i="6"/>
  <c r="B408" i="6"/>
  <c r="B289" i="6"/>
  <c r="B277" i="6"/>
  <c r="B411" i="6"/>
  <c r="B406" i="6"/>
  <c r="B404" i="6"/>
  <c r="B403" i="6"/>
  <c r="B400" i="6"/>
  <c r="B398" i="6"/>
  <c r="B416" i="6"/>
  <c r="B27" i="6"/>
  <c r="B363" i="6"/>
  <c r="B256" i="6"/>
  <c r="B201" i="6"/>
  <c r="B11" i="6"/>
  <c r="B396" i="6"/>
  <c r="B45" i="6"/>
  <c r="B40" i="6"/>
  <c r="B412" i="6"/>
  <c r="B154" i="6"/>
  <c r="B30" i="6"/>
  <c r="B417" i="6"/>
  <c r="B364" i="6"/>
  <c r="B375" i="6"/>
  <c r="B382" i="6"/>
  <c r="B377" i="6"/>
  <c r="B10" i="6"/>
  <c r="B338" i="6"/>
  <c r="B288" i="6"/>
  <c r="B114" i="6"/>
  <c r="B2" i="6"/>
  <c r="B410" i="6"/>
  <c r="B402" i="6"/>
  <c r="B345" i="6"/>
  <c r="B3" i="6"/>
  <c r="B4" i="6"/>
  <c r="B5" i="6"/>
  <c r="B130" i="6"/>
  <c r="B340" i="6"/>
  <c r="B225" i="6"/>
  <c r="B180" i="6"/>
  <c r="B284" i="6"/>
  <c r="B393" i="6"/>
  <c r="B176" i="6"/>
  <c r="B413" i="6"/>
  <c r="B394" i="6"/>
  <c r="B7" i="6"/>
  <c r="B34" i="6"/>
  <c r="B6" i="6"/>
  <c r="B290" i="6"/>
  <c r="B117" i="6"/>
  <c r="B135" i="6"/>
  <c r="B407" i="6"/>
  <c r="B405" i="6"/>
  <c r="B397" i="6"/>
  <c r="B330" i="6"/>
  <c r="B395" i="6"/>
  <c r="B115" i="6"/>
  <c r="B116" i="6"/>
  <c r="B156" i="6"/>
  <c r="B414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8" i="5"/>
  <c r="BA374" i="5"/>
  <c r="BA327" i="5"/>
  <c r="BA307" i="5"/>
  <c r="BA317" i="5"/>
  <c r="BA306" i="5"/>
  <c r="BA334" i="5"/>
  <c r="BA379" i="5"/>
  <c r="BA328" i="5"/>
  <c r="BA389" i="5"/>
  <c r="BA348" i="5"/>
  <c r="BA311" i="5"/>
  <c r="BA392" i="5"/>
  <c r="BA391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0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6" i="5"/>
  <c r="BF220" i="5"/>
  <c r="BF330" i="5"/>
  <c r="BF332" i="5"/>
  <c r="BF338" i="5"/>
  <c r="BF340" i="5"/>
  <c r="BF346" i="5"/>
  <c r="BF396" i="5"/>
  <c r="BF255" i="5"/>
  <c r="BF264" i="5"/>
  <c r="BF413" i="5"/>
  <c r="BF397" i="5"/>
  <c r="BF407" i="5"/>
  <c r="BF409" i="5"/>
  <c r="BF97" i="5"/>
  <c r="BF162" i="5"/>
  <c r="BF189" i="5"/>
  <c r="BF42" i="5"/>
  <c r="BF47" i="5"/>
  <c r="BF178" i="5"/>
  <c r="BF394" i="5"/>
  <c r="BF410" i="5"/>
  <c r="BF411" i="5"/>
  <c r="BF61" i="5"/>
  <c r="BF118" i="5"/>
  <c r="BF285" i="5"/>
  <c r="BF292" i="5"/>
  <c r="BF39" i="5"/>
  <c r="BF40" i="5"/>
  <c r="BF41" i="5"/>
  <c r="BF103" i="5"/>
  <c r="BF336" i="5"/>
  <c r="BF404" i="5"/>
  <c r="BF416" i="5"/>
  <c r="BF38" i="5"/>
  <c r="BF66" i="5"/>
  <c r="BF176" i="5"/>
  <c r="BF65" i="5"/>
  <c r="BF67" i="5"/>
  <c r="BF373" i="5"/>
  <c r="BF375" i="5"/>
  <c r="BF377" i="5"/>
  <c r="BF382" i="5"/>
  <c r="BF402" i="5"/>
  <c r="BF403" i="5"/>
  <c r="BF414" i="5"/>
  <c r="BF53" i="5"/>
  <c r="BF56" i="5"/>
  <c r="BF59" i="5"/>
  <c r="BF154" i="5"/>
  <c r="BF259" i="5"/>
  <c r="BF372" i="5"/>
  <c r="BF50" i="5"/>
  <c r="BF393" i="5"/>
  <c r="BF398" i="5"/>
  <c r="BF400" i="5"/>
  <c r="BF405" i="5"/>
  <c r="BF406" i="5"/>
  <c r="BF408" i="5"/>
  <c r="BF417" i="5"/>
  <c r="BF149" i="5"/>
  <c r="BF153" i="5"/>
  <c r="BF327" i="5"/>
  <c r="BF177" i="5"/>
  <c r="BF334" i="5"/>
  <c r="BF412" i="5"/>
  <c r="BF143" i="5"/>
  <c r="BF415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1" i="5"/>
  <c r="BF119" i="5"/>
  <c r="BF210" i="5"/>
  <c r="BF243" i="5"/>
  <c r="BF245" i="5"/>
  <c r="BF247" i="5"/>
  <c r="BF368" i="5"/>
  <c r="BF395" i="5"/>
  <c r="BF124" i="5"/>
  <c r="BF8" i="5"/>
  <c r="BF348" i="5"/>
  <c r="BF374" i="5"/>
  <c r="BF388" i="5"/>
  <c r="BF271" i="5"/>
  <c r="BF139" i="5"/>
  <c r="BF184" i="5"/>
  <c r="BF222" i="5"/>
  <c r="BF242" i="5"/>
  <c r="BF244" i="5"/>
  <c r="BF60" i="5"/>
  <c r="BF256" i="5"/>
  <c r="BF249" i="5"/>
  <c r="BF399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89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2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8" i="5"/>
  <c r="BE389" i="5"/>
  <c r="BE390" i="5"/>
  <c r="BE391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293" i="5"/>
  <c r="BC293" i="5"/>
  <c r="BC392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8" i="5"/>
  <c r="BC389" i="5"/>
  <c r="BC390" i="5"/>
  <c r="BC391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B392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8" i="5"/>
  <c r="BB389" i="5"/>
  <c r="BB390" i="5"/>
  <c r="BB391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293" i="5"/>
  <c r="AI307" i="4"/>
  <c r="AI305" i="4"/>
  <c r="AI304" i="4"/>
  <c r="AI315" i="4"/>
  <c r="AI316" i="4"/>
  <c r="AI317" i="4"/>
  <c r="AI309" i="4"/>
  <c r="AI310" i="4"/>
  <c r="AI311" i="4"/>
  <c r="AI312" i="4"/>
  <c r="AI319" i="4"/>
  <c r="AI318" i="4"/>
  <c r="AI340" i="4"/>
  <c r="AI335" i="4"/>
  <c r="AI333" i="4"/>
  <c r="AI334" i="4"/>
  <c r="AI346" i="4"/>
  <c r="AI345" i="4"/>
  <c r="AI343" i="4"/>
  <c r="AI320" i="4"/>
  <c r="AI349" i="4"/>
  <c r="AI350" i="4"/>
  <c r="AI341" i="4"/>
  <c r="AI352" i="4"/>
  <c r="AI344" i="4"/>
  <c r="AI323" i="4"/>
  <c r="AI325" i="4"/>
  <c r="AI326" i="4"/>
  <c r="AI327" i="4"/>
  <c r="AI328" i="4"/>
  <c r="AI348" i="4"/>
  <c r="AI347" i="4"/>
  <c r="AI351" i="4"/>
  <c r="AI329" i="4"/>
  <c r="AI330" i="4"/>
  <c r="AI331" i="4"/>
  <c r="AI332" i="4"/>
  <c r="AI339" i="4"/>
  <c r="AI342" i="4"/>
  <c r="AI324" i="4"/>
  <c r="AI321" i="4"/>
  <c r="AI322" i="4"/>
  <c r="AI338" i="4"/>
  <c r="AI336" i="4"/>
  <c r="AI337" i="4"/>
  <c r="AI359" i="4"/>
  <c r="AI353" i="4"/>
  <c r="AI354" i="4"/>
  <c r="AI355" i="4"/>
  <c r="AI360" i="4"/>
  <c r="AI361" i="4"/>
  <c r="AI362" i="4"/>
  <c r="AI363" i="4"/>
  <c r="AI364" i="4"/>
  <c r="AI365" i="4"/>
  <c r="AI366" i="4"/>
  <c r="AI367" i="4"/>
  <c r="AI369" i="4"/>
  <c r="AI370" i="4"/>
  <c r="AI371" i="4"/>
  <c r="AI373" i="4"/>
  <c r="AI374" i="4"/>
  <c r="AI372" i="4"/>
  <c r="AI356" i="4"/>
  <c r="AI357" i="4"/>
  <c r="AI358" i="4"/>
  <c r="AI368" i="4"/>
  <c r="AI378" i="4"/>
  <c r="AI376" i="4"/>
  <c r="AI379" i="4"/>
  <c r="AI385" i="4"/>
  <c r="AI380" i="4"/>
  <c r="AI375" i="4"/>
  <c r="AI386" i="4"/>
  <c r="AI381" i="4"/>
  <c r="AI377" i="4"/>
  <c r="AI387" i="4"/>
  <c r="AI383" i="4"/>
  <c r="AI391" i="4"/>
  <c r="AI390" i="4"/>
  <c r="AI389" i="4"/>
  <c r="AI388" i="4"/>
  <c r="AI392" i="4"/>
  <c r="AI393" i="4"/>
  <c r="AI407" i="4"/>
  <c r="AI405" i="4"/>
  <c r="AI406" i="4"/>
  <c r="AI396" i="4"/>
  <c r="AI397" i="4"/>
  <c r="AI398" i="4"/>
  <c r="AI399" i="4"/>
  <c r="AI417" i="4"/>
  <c r="AI408" i="4"/>
  <c r="AI409" i="4"/>
  <c r="AI410" i="4"/>
  <c r="AI411" i="4"/>
  <c r="AI400" i="4"/>
  <c r="AI402" i="4"/>
  <c r="AI403" i="4"/>
  <c r="AI412" i="4"/>
  <c r="AI394" i="4"/>
  <c r="AI413" i="4"/>
  <c r="AI404" i="4"/>
  <c r="AI395" i="4"/>
  <c r="AI414" i="4"/>
  <c r="AI415" i="4"/>
  <c r="AI416" i="4"/>
  <c r="AI401" i="4"/>
  <c r="BF79" i="5"/>
  <c r="I43" i="3"/>
  <c r="E11" i="3"/>
  <c r="E12" i="3"/>
  <c r="E13" i="3"/>
  <c r="E14" i="3"/>
  <c r="E16" i="3"/>
  <c r="E17" i="3"/>
  <c r="E18" i="3"/>
  <c r="E19" i="3"/>
  <c r="E20" i="3"/>
  <c r="E21" i="3"/>
  <c r="E22" i="3"/>
  <c r="E23" i="3"/>
  <c r="E24" i="3"/>
  <c r="E26" i="3"/>
  <c r="E27" i="3"/>
  <c r="E28" i="3"/>
  <c r="E40" i="3"/>
  <c r="E30" i="3"/>
  <c r="E31" i="3"/>
  <c r="E41" i="3"/>
  <c r="E42" i="3"/>
  <c r="E43" i="3"/>
  <c r="E32" i="3"/>
  <c r="E33" i="3"/>
  <c r="E34" i="3"/>
  <c r="E35" i="3"/>
  <c r="E36" i="3"/>
  <c r="E37" i="3"/>
  <c r="E38" i="3"/>
  <c r="E39" i="3"/>
  <c r="E6" i="3"/>
  <c r="I36" i="3"/>
  <c r="I31" i="3"/>
  <c r="I21" i="3"/>
  <c r="I28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88" i="5"/>
  <c r="AQ388" i="5"/>
  <c r="AR388" i="5"/>
  <c r="AS388" i="5"/>
  <c r="AT388" i="5"/>
  <c r="AU388" i="5"/>
  <c r="AV388" i="5"/>
  <c r="AW388" i="5"/>
  <c r="AX388" i="5"/>
  <c r="AY388" i="5"/>
  <c r="AZ388" i="5"/>
  <c r="AP392" i="5"/>
  <c r="AQ392" i="5"/>
  <c r="AR392" i="5"/>
  <c r="AS392" i="5"/>
  <c r="AT392" i="5"/>
  <c r="AU392" i="5"/>
  <c r="AV392" i="5"/>
  <c r="AW392" i="5"/>
  <c r="AX392" i="5"/>
  <c r="AY392" i="5"/>
  <c r="AZ392" i="5"/>
  <c r="AR396" i="5"/>
  <c r="AS396" i="5"/>
  <c r="AT396" i="5"/>
  <c r="AU396" i="5"/>
  <c r="AV396" i="5"/>
  <c r="AW396" i="5"/>
  <c r="AX396" i="5"/>
  <c r="AY396" i="5"/>
  <c r="AR395" i="5"/>
  <c r="AS395" i="5"/>
  <c r="AT395" i="5"/>
  <c r="AU395" i="5"/>
  <c r="AV395" i="5"/>
  <c r="AW395" i="5"/>
  <c r="AX395" i="5"/>
  <c r="AY395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07" i="5"/>
  <c r="AS407" i="5"/>
  <c r="AT407" i="5"/>
  <c r="AU407" i="5"/>
  <c r="AV407" i="5"/>
  <c r="AW407" i="5"/>
  <c r="AX407" i="5"/>
  <c r="AY407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9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33" i="4"/>
  <c r="AC127" i="4"/>
  <c r="AC128" i="4"/>
  <c r="AC129" i="4"/>
  <c r="AC130" i="4"/>
  <c r="AC131" i="4"/>
  <c r="AC132" i="4"/>
  <c r="AC134" i="4"/>
  <c r="AC135" i="4"/>
  <c r="AC136" i="4"/>
  <c r="AC137" i="4"/>
  <c r="AC138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1" i="4"/>
  <c r="AC202" i="4"/>
  <c r="AC203" i="4"/>
  <c r="AC204" i="4"/>
  <c r="AC205" i="4"/>
  <c r="AC206" i="4"/>
  <c r="AC207" i="4"/>
  <c r="AC208" i="4"/>
  <c r="AC209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7" i="4"/>
  <c r="AC275" i="4"/>
  <c r="AC276" i="4"/>
  <c r="AC285" i="4"/>
  <c r="AC278" i="4"/>
  <c r="AC279" i="4"/>
  <c r="AC280" i="4"/>
  <c r="AC281" i="4"/>
  <c r="AC282" i="4"/>
  <c r="AC283" i="4"/>
  <c r="AC284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5" i="4"/>
  <c r="AC316" i="4"/>
  <c r="AC317" i="4"/>
  <c r="AC318" i="4"/>
  <c r="AC319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20" i="4"/>
  <c r="AC333" i="4"/>
  <c r="AC334" i="4"/>
  <c r="AC335" i="4"/>
  <c r="AC336" i="4"/>
  <c r="AC337" i="4"/>
  <c r="AC338" i="4"/>
  <c r="AC340" i="4"/>
  <c r="AC341" i="4"/>
  <c r="AC342" i="4"/>
  <c r="AC343" i="4"/>
  <c r="AC339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3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2" i="4"/>
  <c r="AD2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2" i="5"/>
  <c r="BD388" i="5"/>
  <c r="BD389" i="5"/>
  <c r="BD397" i="5"/>
  <c r="BD413" i="5"/>
  <c r="BD414" i="5"/>
  <c r="BD394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0" i="5"/>
  <c r="BD391" i="5"/>
  <c r="BD393" i="5"/>
  <c r="BD395" i="5"/>
  <c r="BD398" i="5"/>
  <c r="BD399" i="5"/>
  <c r="BD400" i="5"/>
  <c r="BD404" i="5"/>
  <c r="BD405" i="5"/>
  <c r="BD406" i="5"/>
  <c r="BD407" i="5"/>
  <c r="BD408" i="5"/>
  <c r="BD409" i="5"/>
  <c r="BD411" i="5"/>
  <c r="BD412" i="5"/>
  <c r="BD415" i="5"/>
  <c r="BD416" i="5"/>
  <c r="BD417" i="5"/>
  <c r="BD396" i="5"/>
  <c r="BD401" i="5"/>
  <c r="BD410" i="5"/>
  <c r="BD403" i="5"/>
  <c r="BD402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9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33" i="4"/>
  <c r="AD127" i="4"/>
  <c r="AD128" i="4"/>
  <c r="AD129" i="4"/>
  <c r="AD130" i="4"/>
  <c r="AD131" i="4"/>
  <c r="AD132" i="4"/>
  <c r="AD134" i="4"/>
  <c r="AD135" i="4"/>
  <c r="AD136" i="4"/>
  <c r="AD137" i="4"/>
  <c r="AD138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1" i="4"/>
  <c r="AD202" i="4"/>
  <c r="AD203" i="4"/>
  <c r="AD204" i="4"/>
  <c r="AD205" i="4"/>
  <c r="AD206" i="4"/>
  <c r="AD207" i="4"/>
  <c r="AD208" i="4"/>
  <c r="AD209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7" i="4"/>
  <c r="AD275" i="4"/>
  <c r="AD276" i="4"/>
  <c r="AD285" i="4"/>
  <c r="AD278" i="4"/>
  <c r="AD279" i="4"/>
  <c r="AD280" i="4"/>
  <c r="AD281" i="4"/>
  <c r="AD282" i="4"/>
  <c r="AD283" i="4"/>
  <c r="AD284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5" i="4"/>
  <c r="AD316" i="4"/>
  <c r="AD317" i="4"/>
  <c r="AD318" i="4"/>
  <c r="AD319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20" i="4"/>
  <c r="AD333" i="4"/>
  <c r="AD334" i="4"/>
  <c r="AD335" i="4"/>
  <c r="AD336" i="4"/>
  <c r="AD337" i="4"/>
  <c r="AD338" i="4"/>
  <c r="AD340" i="4"/>
  <c r="AD341" i="4"/>
  <c r="AD342" i="4"/>
  <c r="AD343" i="4"/>
  <c r="AD339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3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6" i="4"/>
  <c r="AE5" i="4"/>
  <c r="AE6" i="4"/>
  <c r="AE8" i="4"/>
  <c r="AE178" i="4"/>
  <c r="AE128" i="4"/>
  <c r="AE129" i="4"/>
  <c r="AE162" i="4"/>
  <c r="AE168" i="4"/>
  <c r="AE280" i="4"/>
  <c r="AE94" i="4"/>
  <c r="AE19" i="4"/>
  <c r="AE105" i="4"/>
  <c r="AE127" i="4"/>
  <c r="AE303" i="4"/>
  <c r="AE277" i="4"/>
  <c r="AE285" i="4"/>
  <c r="AE153" i="4"/>
  <c r="AE164" i="4"/>
  <c r="AE302" i="4"/>
  <c r="AE261" i="4"/>
  <c r="AE181" i="4"/>
  <c r="AE182" i="4"/>
  <c r="AE3" i="4"/>
  <c r="AE80" i="4"/>
  <c r="AE83" i="4"/>
  <c r="AE91" i="4"/>
  <c r="AE93" i="4"/>
  <c r="AE251" i="4"/>
  <c r="AE96" i="4"/>
  <c r="AE97" i="4"/>
  <c r="AE98" i="4"/>
  <c r="AE99" i="4"/>
  <c r="AE100" i="4"/>
  <c r="AE101" i="4"/>
  <c r="AE108" i="4"/>
  <c r="AE109" i="4"/>
  <c r="AE110" i="4"/>
  <c r="AE125" i="4"/>
  <c r="AE267" i="4"/>
  <c r="AE156" i="4"/>
  <c r="AE166" i="4"/>
  <c r="AE167" i="4"/>
  <c r="AE174" i="4"/>
  <c r="AE54" i="4"/>
  <c r="AE287" i="4"/>
  <c r="AE298" i="4"/>
  <c r="AE299" i="4"/>
  <c r="AE237" i="4"/>
  <c r="AE238" i="4"/>
  <c r="AE239" i="4"/>
  <c r="AE240" i="4"/>
  <c r="AE241" i="4"/>
  <c r="AE242" i="4"/>
  <c r="AE243" i="4"/>
  <c r="AE253" i="4"/>
  <c r="AE92" i="4"/>
  <c r="AE16" i="4"/>
  <c r="AE102" i="4"/>
  <c r="AE103" i="4"/>
  <c r="AE104" i="4"/>
  <c r="AE111" i="4"/>
  <c r="AE44" i="4"/>
  <c r="AE45" i="4"/>
  <c r="AE293" i="4"/>
  <c r="AE141" i="4"/>
  <c r="AE145" i="4"/>
  <c r="AE258" i="4"/>
  <c r="AE275" i="4"/>
  <c r="AE51" i="4"/>
  <c r="AE152" i="4"/>
  <c r="AE154" i="4"/>
  <c r="AE278" i="4"/>
  <c r="AE158" i="4"/>
  <c r="AE269" i="4"/>
  <c r="AE260" i="4"/>
  <c r="AE175" i="4"/>
  <c r="AE176" i="4"/>
  <c r="AE294" i="4"/>
  <c r="AE295" i="4"/>
  <c r="AE296" i="4"/>
  <c r="AE55" i="4"/>
  <c r="AE56" i="4"/>
  <c r="AE297" i="4"/>
  <c r="AE202" i="4"/>
  <c r="AE203" i="4"/>
  <c r="AE204" i="4"/>
  <c r="AE205" i="4"/>
  <c r="AE206" i="4"/>
  <c r="AE207" i="4"/>
  <c r="AE264" i="4"/>
  <c r="AE208" i="4"/>
  <c r="AE209" i="4"/>
  <c r="AE216" i="4"/>
  <c r="AE72" i="4"/>
  <c r="AE244" i="4"/>
  <c r="AE300" i="4"/>
  <c r="AE247" i="4"/>
  <c r="AE88" i="4"/>
  <c r="AE89" i="4"/>
  <c r="AE90" i="4"/>
  <c r="AE17" i="4"/>
  <c r="AE106" i="4"/>
  <c r="AE107" i="4"/>
  <c r="AE140" i="4"/>
  <c r="AE259" i="4"/>
  <c r="AE53" i="4"/>
  <c r="AE179" i="4"/>
  <c r="AE180" i="4"/>
  <c r="AE62" i="4"/>
  <c r="AE282" i="4"/>
  <c r="AE75" i="4"/>
  <c r="AE76" i="4"/>
  <c r="AE77" i="4"/>
  <c r="AE79" i="4"/>
  <c r="AE249" i="4"/>
  <c r="AE18" i="4"/>
  <c r="AE124" i="4"/>
  <c r="AE134" i="4"/>
  <c r="AE135" i="4"/>
  <c r="AE136" i="4"/>
  <c r="AE139" i="4"/>
  <c r="AE301" i="4"/>
  <c r="AE143" i="4"/>
  <c r="AE13" i="4"/>
  <c r="AE14" i="4"/>
  <c r="AE9" i="4"/>
  <c r="AE183" i="4"/>
  <c r="AE10" i="4"/>
  <c r="AE11" i="4"/>
  <c r="AE63" i="4"/>
  <c r="AE64" i="4"/>
  <c r="AE194" i="4"/>
  <c r="AE67" i="4"/>
  <c r="AE68" i="4"/>
  <c r="AE69" i="4"/>
  <c r="AE70" i="4"/>
  <c r="AE221" i="4"/>
  <c r="AE78" i="4"/>
  <c r="AE81" i="4"/>
  <c r="AE82" i="4"/>
  <c r="AE84" i="4"/>
  <c r="AE248" i="4"/>
  <c r="AE250" i="4"/>
  <c r="AE252" i="4"/>
  <c r="AE288" i="4"/>
  <c r="AE121" i="4"/>
  <c r="AE35" i="4"/>
  <c r="AE133" i="4"/>
  <c r="AE48" i="4"/>
  <c r="AE137" i="4"/>
  <c r="AE256" i="4"/>
  <c r="AE257" i="4"/>
  <c r="AE266" i="4"/>
  <c r="AE160" i="4"/>
  <c r="AE163" i="4"/>
  <c r="AE165" i="4"/>
  <c r="AE289" i="4"/>
  <c r="AE286" i="4"/>
  <c r="AE290" i="4"/>
  <c r="AE291" i="4"/>
  <c r="AE184" i="4"/>
  <c r="AE185" i="4"/>
  <c r="AE186" i="4"/>
  <c r="AE187" i="4"/>
  <c r="AE188" i="4"/>
  <c r="AE189" i="4"/>
  <c r="AE190" i="4"/>
  <c r="AE195" i="4"/>
  <c r="AE196" i="4"/>
  <c r="AE197" i="4"/>
  <c r="AE198" i="4"/>
  <c r="AE65" i="4"/>
  <c r="AE66" i="4"/>
  <c r="AE231" i="4"/>
  <c r="AE265" i="4"/>
  <c r="AE87" i="4"/>
  <c r="AE245" i="4"/>
  <c r="AE246" i="4"/>
  <c r="AE227" i="4"/>
  <c r="AE228" i="4"/>
  <c r="AE229" i="4"/>
  <c r="AE118" i="4"/>
  <c r="AE119" i="4"/>
  <c r="AE120" i="4"/>
  <c r="AE123" i="4"/>
  <c r="AE49" i="4"/>
  <c r="AE144" i="4"/>
  <c r="AE149" i="4"/>
  <c r="AE170" i="4"/>
  <c r="AE171" i="4"/>
  <c r="AE191" i="4"/>
  <c r="AE201" i="4"/>
  <c r="AE292" i="4"/>
  <c r="AE230" i="4"/>
  <c r="AE273" i="4"/>
  <c r="AE274" i="4"/>
  <c r="AE226" i="4"/>
  <c r="AE117" i="4"/>
  <c r="AE46" i="4"/>
  <c r="AE7" i="4"/>
  <c r="AE262" i="4"/>
  <c r="AE263" i="4"/>
  <c r="AE192" i="4"/>
  <c r="AE193" i="4"/>
  <c r="AE234" i="4"/>
  <c r="AE130" i="4"/>
  <c r="AE138" i="4"/>
  <c r="AE157" i="4"/>
  <c r="AE52" i="4"/>
  <c r="AE279" i="4"/>
  <c r="AE177" i="4"/>
  <c r="AE212" i="4"/>
  <c r="AE213" i="4"/>
  <c r="AE214" i="4"/>
  <c r="AE114" i="4"/>
  <c r="AE131" i="4"/>
  <c r="AE132" i="4"/>
  <c r="AE150" i="4"/>
  <c r="AE159" i="4"/>
  <c r="AE268" i="4"/>
  <c r="AE270" i="4"/>
  <c r="AE271" i="4"/>
  <c r="AE272" i="4"/>
  <c r="AE215" i="4"/>
  <c r="AE218" i="4"/>
  <c r="AE219" i="4"/>
  <c r="AE233" i="4"/>
  <c r="AE20" i="4"/>
  <c r="AE112" i="4"/>
  <c r="AE113" i="4"/>
  <c r="AE115" i="4"/>
  <c r="AE116" i="4"/>
  <c r="AE122" i="4"/>
  <c r="AE29" i="4"/>
  <c r="AE146" i="4"/>
  <c r="AE50" i="4"/>
  <c r="AE147" i="4"/>
  <c r="AE151" i="4"/>
  <c r="AE161" i="4"/>
  <c r="AE15" i="4"/>
  <c r="AE169" i="4"/>
  <c r="AE57" i="4"/>
  <c r="AE59" i="4"/>
  <c r="AE220" i="4"/>
  <c r="AE71" i="4"/>
  <c r="AE223" i="4"/>
  <c r="AE224" i="4"/>
  <c r="AE225" i="4"/>
  <c r="AE40" i="4"/>
  <c r="AE41" i="4"/>
  <c r="AE23" i="4"/>
  <c r="AE42" i="4"/>
  <c r="AE24" i="4"/>
  <c r="AE25" i="4"/>
  <c r="AE43" i="4"/>
  <c r="AE27" i="4"/>
  <c r="AE95" i="4"/>
  <c r="AE21" i="4"/>
  <c r="AE30" i="4"/>
  <c r="AE31" i="4"/>
  <c r="AE32" i="4"/>
  <c r="AE33" i="4"/>
  <c r="AE34" i="4"/>
  <c r="AE47" i="4"/>
  <c r="AE284" i="4"/>
  <c r="AE126" i="4"/>
  <c r="AE12" i="4"/>
  <c r="AE155" i="4"/>
  <c r="AE172" i="4"/>
  <c r="AE173" i="4"/>
  <c r="AE58" i="4"/>
  <c r="AE235" i="4"/>
  <c r="AE236" i="4"/>
  <c r="AE85" i="4"/>
  <c r="AE283" i="4"/>
  <c r="AE39" i="4"/>
  <c r="AE22" i="4"/>
  <c r="AE26" i="4"/>
  <c r="AE28" i="4"/>
  <c r="AE4" i="4"/>
  <c r="AE148" i="4"/>
  <c r="AE60" i="4"/>
  <c r="AE61" i="4"/>
  <c r="AE217" i="4"/>
  <c r="AE281" i="4"/>
  <c r="AE232" i="4"/>
  <c r="AE37" i="4"/>
  <c r="AE142" i="4"/>
  <c r="AE222" i="4"/>
  <c r="AE199" i="4"/>
  <c r="AE310" i="4"/>
  <c r="AE308" i="4"/>
  <c r="AE309" i="4"/>
  <c r="AE311" i="4"/>
  <c r="AE312" i="4"/>
  <c r="AE306" i="4"/>
  <c r="AE307" i="4"/>
  <c r="AE305" i="4"/>
  <c r="AE304" i="4"/>
  <c r="AE318" i="4"/>
  <c r="AE313" i="4"/>
  <c r="AE315" i="4"/>
  <c r="AE316" i="4"/>
  <c r="AE317" i="4"/>
  <c r="AE319" i="4"/>
  <c r="AE324" i="4"/>
  <c r="AE342" i="4"/>
  <c r="AE323" i="4"/>
  <c r="AE325" i="4"/>
  <c r="AE326" i="4"/>
  <c r="AE327" i="4"/>
  <c r="AE341" i="4"/>
  <c r="AE343" i="4"/>
  <c r="AE346" i="4"/>
  <c r="AE329" i="4"/>
  <c r="AE330" i="4"/>
  <c r="AE331" i="4"/>
  <c r="AE332" i="4"/>
  <c r="AE339" i="4"/>
  <c r="AE333" i="4"/>
  <c r="AE334" i="4"/>
  <c r="AE335" i="4"/>
  <c r="AE344" i="4"/>
  <c r="AE345" i="4"/>
  <c r="AE321" i="4"/>
  <c r="AE322" i="4"/>
  <c r="AE348" i="4"/>
  <c r="AE349" i="4"/>
  <c r="AE347" i="4"/>
  <c r="AE350" i="4"/>
  <c r="AE351" i="4"/>
  <c r="AE320" i="4"/>
  <c r="AE340" i="4"/>
  <c r="AE336" i="4"/>
  <c r="AE337" i="4"/>
  <c r="AE338" i="4"/>
  <c r="AE352" i="4"/>
  <c r="AE328" i="4"/>
  <c r="AE360" i="4"/>
  <c r="AE364" i="4"/>
  <c r="AE353" i="4"/>
  <c r="AE359" i="4"/>
  <c r="AE369" i="4"/>
  <c r="AE370" i="4"/>
  <c r="AE371" i="4"/>
  <c r="AE372" i="4"/>
  <c r="AE368" i="4"/>
  <c r="AE373" i="4"/>
  <c r="AE374" i="4"/>
  <c r="AE361" i="4"/>
  <c r="AE362" i="4"/>
  <c r="AE354" i="4"/>
  <c r="AE355" i="4"/>
  <c r="AE357" i="4"/>
  <c r="AE356" i="4"/>
  <c r="AE358" i="4"/>
  <c r="AE363" i="4"/>
  <c r="AE365" i="4"/>
  <c r="AE366" i="4"/>
  <c r="AE367" i="4"/>
  <c r="AE380" i="4"/>
  <c r="AE375" i="4"/>
  <c r="AE387" i="4"/>
  <c r="AE379" i="4"/>
  <c r="AE385" i="4"/>
  <c r="AE386" i="4"/>
  <c r="AE381" i="4"/>
  <c r="AE376" i="4"/>
  <c r="AE377" i="4"/>
  <c r="AE378" i="4"/>
  <c r="AE383" i="4"/>
  <c r="AE392" i="4"/>
  <c r="AE388" i="4"/>
  <c r="AE391" i="4"/>
  <c r="AE389" i="4"/>
  <c r="AE390" i="4"/>
  <c r="AE401" i="4"/>
  <c r="AE406" i="4"/>
  <c r="AE407" i="4"/>
  <c r="AE393" i="4"/>
  <c r="AE408" i="4"/>
  <c r="AE409" i="4"/>
  <c r="AE410" i="4"/>
  <c r="AE412" i="4"/>
  <c r="AE394" i="4"/>
  <c r="AE405" i="4"/>
  <c r="AE396" i="4"/>
  <c r="AE397" i="4"/>
  <c r="AE398" i="4"/>
  <c r="AE399" i="4"/>
  <c r="AE417" i="4"/>
  <c r="AE411" i="4"/>
  <c r="AE400" i="4"/>
  <c r="AE402" i="4"/>
  <c r="AE403" i="4"/>
  <c r="AE413" i="4"/>
  <c r="AE404" i="4"/>
  <c r="AE395" i="4"/>
  <c r="AE414" i="4"/>
  <c r="AE415" i="4"/>
  <c r="AE416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9" i="4"/>
  <c r="AG390" i="4"/>
  <c r="AG392" i="4"/>
  <c r="AG391" i="4"/>
  <c r="AG388" i="4"/>
  <c r="AG405" i="4"/>
  <c r="AG406" i="4"/>
  <c r="AG407" i="4"/>
  <c r="AG393" i="4"/>
  <c r="AG396" i="4"/>
  <c r="AG397" i="4"/>
  <c r="AG398" i="4"/>
  <c r="AG399" i="4"/>
  <c r="AG417" i="4"/>
  <c r="AG408" i="4"/>
  <c r="AG409" i="4"/>
  <c r="AG410" i="4"/>
  <c r="AG411" i="4"/>
  <c r="AG400" i="4"/>
  <c r="AG401" i="4"/>
  <c r="AG402" i="4"/>
  <c r="AG403" i="4"/>
  <c r="AG412" i="4"/>
  <c r="AG394" i="4"/>
  <c r="AG413" i="4"/>
  <c r="AG404" i="4"/>
  <c r="AG395" i="4"/>
  <c r="AG414" i="4"/>
  <c r="AG415" i="4"/>
  <c r="AG416" i="4"/>
  <c r="AJ306" i="4"/>
  <c r="AJ307" i="4"/>
  <c r="AJ305" i="4"/>
  <c r="AJ304" i="4"/>
  <c r="AJ308" i="4"/>
  <c r="AJ313" i="4"/>
  <c r="AJ315" i="4"/>
  <c r="AJ316" i="4"/>
  <c r="AJ317" i="4"/>
  <c r="AJ309" i="4"/>
  <c r="AJ319" i="4"/>
  <c r="AJ318" i="4"/>
  <c r="AJ310" i="4"/>
  <c r="AJ311" i="4"/>
  <c r="AJ312" i="4"/>
  <c r="AJ336" i="4"/>
  <c r="AJ337" i="4"/>
  <c r="AJ338" i="4"/>
  <c r="AJ321" i="4"/>
  <c r="AJ322" i="4"/>
  <c r="AJ323" i="4"/>
  <c r="AJ324" i="4"/>
  <c r="AJ325" i="4"/>
  <c r="AJ326" i="4"/>
  <c r="AJ327" i="4"/>
  <c r="AJ328" i="4"/>
  <c r="AJ348" i="4"/>
  <c r="AJ349" i="4"/>
  <c r="AJ347" i="4"/>
  <c r="AJ350" i="4"/>
  <c r="AJ351" i="4"/>
  <c r="AJ340" i="4"/>
  <c r="AJ341" i="4"/>
  <c r="AJ342" i="4"/>
  <c r="AJ343" i="4"/>
  <c r="AJ352" i="4"/>
  <c r="AJ329" i="4"/>
  <c r="AJ330" i="4"/>
  <c r="AJ331" i="4"/>
  <c r="AJ332" i="4"/>
  <c r="AJ320" i="4"/>
  <c r="AJ333" i="4"/>
  <c r="AJ334" i="4"/>
  <c r="AJ335" i="4"/>
  <c r="AJ344" i="4"/>
  <c r="AJ345" i="4"/>
  <c r="AJ346" i="4"/>
  <c r="AJ339" i="4"/>
  <c r="AJ353" i="4"/>
  <c r="AJ373" i="4"/>
  <c r="AJ374" i="4"/>
  <c r="AJ372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8" i="4"/>
  <c r="AJ376" i="4"/>
  <c r="AJ379" i="4"/>
  <c r="AJ385" i="4"/>
  <c r="AJ380" i="4"/>
  <c r="AJ375" i="4"/>
  <c r="AJ386" i="4"/>
  <c r="AJ381" i="4"/>
  <c r="AJ387" i="4"/>
  <c r="AJ377" i="4"/>
  <c r="AJ383" i="4"/>
  <c r="AJ389" i="4"/>
  <c r="AJ390" i="4"/>
  <c r="AJ392" i="4"/>
  <c r="AJ391" i="4"/>
  <c r="AJ388" i="4"/>
  <c r="AJ405" i="4"/>
  <c r="AJ406" i="4"/>
  <c r="AJ407" i="4"/>
  <c r="AJ393" i="4"/>
  <c r="AJ396" i="4"/>
  <c r="AJ397" i="4"/>
  <c r="AJ398" i="4"/>
  <c r="AJ399" i="4"/>
  <c r="AJ417" i="4"/>
  <c r="AJ408" i="4"/>
  <c r="AJ409" i="4"/>
  <c r="AJ410" i="4"/>
  <c r="AJ411" i="4"/>
  <c r="AJ400" i="4"/>
  <c r="AJ401" i="4"/>
  <c r="AJ402" i="4"/>
  <c r="AJ403" i="4"/>
  <c r="AJ412" i="4"/>
  <c r="AJ394" i="4"/>
  <c r="AJ413" i="4"/>
  <c r="AJ404" i="4"/>
  <c r="AJ395" i="4"/>
  <c r="AJ414" i="4"/>
  <c r="AJ415" i="4"/>
  <c r="AJ416" i="4"/>
  <c r="AG93" i="4"/>
  <c r="AG103" i="4"/>
  <c r="AG104" i="4"/>
  <c r="AG108" i="4"/>
  <c r="AG109" i="4"/>
  <c r="AG110" i="4"/>
  <c r="AG111" i="4"/>
  <c r="AG46" i="4"/>
  <c r="AG47" i="4"/>
  <c r="AG141" i="4"/>
  <c r="AG163" i="4"/>
  <c r="AG175" i="4"/>
  <c r="AG298" i="4"/>
  <c r="AG299" i="4"/>
  <c r="AG237" i="4"/>
  <c r="AG96" i="4"/>
  <c r="AG97" i="4"/>
  <c r="AG100" i="4"/>
  <c r="AG174" i="4"/>
  <c r="AG145" i="4"/>
  <c r="AG154" i="4"/>
  <c r="AG277" i="4"/>
  <c r="AG267" i="4"/>
  <c r="AG44" i="4"/>
  <c r="AG45" i="4"/>
  <c r="AG13" i="4"/>
  <c r="AG6" i="4"/>
  <c r="AG54" i="4"/>
  <c r="AG55" i="4"/>
  <c r="AG56" i="4"/>
  <c r="AG98" i="4"/>
  <c r="AG99" i="4"/>
  <c r="AG101" i="4"/>
  <c r="AG176" i="4"/>
  <c r="AG53" i="4"/>
  <c r="AG253" i="4"/>
  <c r="AG106" i="4"/>
  <c r="AG107" i="4"/>
  <c r="AG125" i="4"/>
  <c r="AG156" i="4"/>
  <c r="AG269" i="4"/>
  <c r="AG276" i="4"/>
  <c r="AG165" i="4"/>
  <c r="AG302" i="4"/>
  <c r="AG204" i="4"/>
  <c r="AG205" i="4"/>
  <c r="AG207" i="4"/>
  <c r="AG264" i="4"/>
  <c r="AG208" i="4"/>
  <c r="AG209" i="4"/>
  <c r="AG202" i="4"/>
  <c r="AG203" i="4"/>
  <c r="AG206" i="4"/>
  <c r="AG88" i="4"/>
  <c r="AG89" i="4"/>
  <c r="AG90" i="4"/>
  <c r="AG91" i="4"/>
  <c r="AG92" i="4"/>
  <c r="AG251" i="4"/>
  <c r="AG94" i="4"/>
  <c r="AG252" i="4"/>
  <c r="AG102" i="4"/>
  <c r="AG105" i="4"/>
  <c r="AG36" i="4"/>
  <c r="AG285" i="4"/>
  <c r="AG282" i="4"/>
  <c r="AG238" i="4"/>
  <c r="AG239" i="4"/>
  <c r="AG240" i="4"/>
  <c r="AG241" i="4"/>
  <c r="AG242" i="4"/>
  <c r="AG243" i="4"/>
  <c r="AG5" i="4"/>
  <c r="AG8" i="4"/>
  <c r="AG75" i="4"/>
  <c r="AG76" i="4"/>
  <c r="AG77" i="4"/>
  <c r="AG78" i="4"/>
  <c r="AG79" i="4"/>
  <c r="AG288" i="4"/>
  <c r="AG289" i="4"/>
  <c r="AG286" i="4"/>
  <c r="AG291" i="4"/>
  <c r="AG16" i="4"/>
  <c r="AG17" i="4"/>
  <c r="AG18" i="4"/>
  <c r="AG19" i="4"/>
  <c r="AG293" i="4"/>
  <c r="AG295" i="4"/>
  <c r="AG297" i="4"/>
  <c r="AG290" i="4"/>
  <c r="AG281" i="4"/>
  <c r="AG300" i="4"/>
  <c r="AG248" i="4"/>
  <c r="AG249" i="4"/>
  <c r="AG250" i="4"/>
  <c r="AG258" i="4"/>
  <c r="AG278" i="4"/>
  <c r="AG260" i="4"/>
  <c r="AG296" i="4"/>
  <c r="AG135" i="4"/>
  <c r="AG136" i="4"/>
  <c r="AG49" i="4"/>
  <c r="AG12" i="4"/>
  <c r="AG177" i="4"/>
  <c r="AG179" i="4"/>
  <c r="AG63" i="4"/>
  <c r="AG70" i="4"/>
  <c r="AG82" i="4"/>
  <c r="AG84" i="4"/>
  <c r="AG244" i="4"/>
  <c r="AG87" i="4"/>
  <c r="AG247" i="4"/>
  <c r="AG284" i="4"/>
  <c r="AG126" i="4"/>
  <c r="AG48" i="4"/>
  <c r="AG134" i="4"/>
  <c r="AG256" i="4"/>
  <c r="AG52" i="4"/>
  <c r="AG60" i="4"/>
  <c r="AG261" i="4"/>
  <c r="AG9" i="4"/>
  <c r="AG10" i="4"/>
  <c r="AG11" i="4"/>
  <c r="AG185" i="4"/>
  <c r="AG67" i="4"/>
  <c r="AG214" i="4"/>
  <c r="AG118" i="4"/>
  <c r="AG139" i="4"/>
  <c r="AG68" i="4"/>
  <c r="AG69" i="4"/>
  <c r="AG80" i="4"/>
  <c r="AG81" i="4"/>
  <c r="AG245" i="4"/>
  <c r="AG246" i="4"/>
  <c r="AG180" i="4"/>
  <c r="AG64" i="4"/>
  <c r="AG65" i="4"/>
  <c r="AG66" i="4"/>
  <c r="AG230" i="4"/>
  <c r="AG72" i="4"/>
  <c r="AG83" i="4"/>
  <c r="AG128" i="4"/>
  <c r="AG129" i="4"/>
  <c r="AG148" i="4"/>
  <c r="AG14" i="4"/>
  <c r="AG7" i="4"/>
  <c r="AG162" i="4"/>
  <c r="AG15" i="4"/>
  <c r="AG57" i="4"/>
  <c r="AG58" i="4"/>
  <c r="AG59" i="4"/>
  <c r="AG181" i="4"/>
  <c r="AG221" i="4"/>
  <c r="AG226" i="4"/>
  <c r="AG227" i="4"/>
  <c r="AG228" i="4"/>
  <c r="AG229" i="4"/>
  <c r="AG117" i="4"/>
  <c r="AG121" i="4"/>
  <c r="AG133" i="4"/>
  <c r="AG137" i="4"/>
  <c r="AG301" i="4"/>
  <c r="AG266" i="4"/>
  <c r="AG275" i="4"/>
  <c r="AG152" i="4"/>
  <c r="AG153" i="4"/>
  <c r="AG160" i="4"/>
  <c r="AG164" i="4"/>
  <c r="AG166" i="4"/>
  <c r="AG167" i="4"/>
  <c r="AG168" i="4"/>
  <c r="AG170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12" i="4"/>
  <c r="AG213" i="4"/>
  <c r="AG216" i="4"/>
  <c r="AG273" i="4"/>
  <c r="AG274" i="4"/>
  <c r="AG265" i="4"/>
  <c r="AG234" i="4"/>
  <c r="AG138" i="4"/>
  <c r="AG143" i="4"/>
  <c r="AG144" i="4"/>
  <c r="AG268" i="4"/>
  <c r="AG184" i="4"/>
  <c r="AG262" i="4"/>
  <c r="AG263" i="4"/>
  <c r="AG270" i="4"/>
  <c r="AG271" i="4"/>
  <c r="AG272" i="4"/>
  <c r="AG292" i="4"/>
  <c r="AG280" i="4"/>
  <c r="AG37" i="4"/>
  <c r="AG146" i="4"/>
  <c r="AG159" i="4"/>
  <c r="AG279" i="4"/>
  <c r="AG169" i="4"/>
  <c r="AG223" i="4"/>
  <c r="AG224" i="4"/>
  <c r="AG225" i="4"/>
  <c r="AG231" i="4"/>
  <c r="AG233" i="4"/>
  <c r="AG283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40" i="4"/>
  <c r="AG257" i="4"/>
  <c r="AG40" i="4"/>
  <c r="AG95" i="4"/>
  <c r="AG112" i="4"/>
  <c r="AG113" i="4"/>
  <c r="AG114" i="4"/>
  <c r="AG115" i="4"/>
  <c r="AG116" i="4"/>
  <c r="AG119" i="4"/>
  <c r="AG124" i="4"/>
  <c r="AG147" i="4"/>
  <c r="AG149" i="4"/>
  <c r="AG150" i="4"/>
  <c r="AG155" i="4"/>
  <c r="AG158" i="4"/>
  <c r="AG294" i="4"/>
  <c r="AG62" i="4"/>
  <c r="AG3" i="4"/>
  <c r="AG183" i="4"/>
  <c r="AG201" i="4"/>
  <c r="AG235" i="4"/>
  <c r="AG236" i="4"/>
  <c r="AG120" i="4"/>
  <c r="AG32" i="4"/>
  <c r="AG33" i="4"/>
  <c r="AG34" i="4"/>
  <c r="AG130" i="4"/>
  <c r="AG131" i="4"/>
  <c r="AG132" i="4"/>
  <c r="AG61" i="4"/>
  <c r="AG303" i="4"/>
  <c r="AG259" i="4"/>
  <c r="AG39" i="4"/>
  <c r="AG122" i="4"/>
  <c r="AG123" i="4"/>
  <c r="AG142" i="4"/>
  <c r="AG50" i="4"/>
  <c r="AG151" i="4"/>
  <c r="AG51" i="4"/>
  <c r="AG157" i="4"/>
  <c r="AG161" i="4"/>
  <c r="AG171" i="4"/>
  <c r="AG172" i="4"/>
  <c r="AG173" i="4"/>
  <c r="AG178" i="4"/>
  <c r="AG182" i="4"/>
  <c r="AG215" i="4"/>
  <c r="AG217" i="4"/>
  <c r="AG218" i="4"/>
  <c r="AG219" i="4"/>
  <c r="AG220" i="4"/>
  <c r="AG71" i="4"/>
  <c r="AG222" i="4"/>
  <c r="AG287" i="4"/>
  <c r="AG232" i="4"/>
  <c r="AG85" i="4"/>
  <c r="AG306" i="4"/>
  <c r="AG307" i="4"/>
  <c r="AG305" i="4"/>
  <c r="AG304" i="4"/>
  <c r="AG308" i="4"/>
  <c r="AG313" i="4"/>
  <c r="AG315" i="4"/>
  <c r="AG316" i="4"/>
  <c r="AG317" i="4"/>
  <c r="AG309" i="4"/>
  <c r="AG319" i="4"/>
  <c r="AG318" i="4"/>
  <c r="AG310" i="4"/>
  <c r="AG311" i="4"/>
  <c r="AG312" i="4"/>
  <c r="AG336" i="4"/>
  <c r="AG337" i="4"/>
  <c r="AG338" i="4"/>
  <c r="AG321" i="4"/>
  <c r="AG322" i="4"/>
  <c r="AG323" i="4"/>
  <c r="AG324" i="4"/>
  <c r="AG325" i="4"/>
  <c r="AG326" i="4"/>
  <c r="AG327" i="4"/>
  <c r="AG328" i="4"/>
  <c r="AG348" i="4"/>
  <c r="AG349" i="4"/>
  <c r="AG347" i="4"/>
  <c r="AG350" i="4"/>
  <c r="AG351" i="4"/>
  <c r="AG340" i="4"/>
  <c r="AG341" i="4"/>
  <c r="AG342" i="4"/>
  <c r="AG343" i="4"/>
  <c r="AG352" i="4"/>
  <c r="AG329" i="4"/>
  <c r="AG330" i="4"/>
  <c r="AG331" i="4"/>
  <c r="AG332" i="4"/>
  <c r="AG320" i="4"/>
  <c r="AG333" i="4"/>
  <c r="AG334" i="4"/>
  <c r="AG335" i="4"/>
  <c r="AG344" i="4"/>
  <c r="AG345" i="4"/>
  <c r="AG346" i="4"/>
  <c r="AG339" i="4"/>
  <c r="AG353" i="4"/>
  <c r="AG373" i="4"/>
  <c r="AG374" i="4"/>
  <c r="AG372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8" i="4"/>
  <c r="AG376" i="4"/>
  <c r="AG379" i="4"/>
  <c r="AG385" i="4"/>
  <c r="AG380" i="4"/>
  <c r="AG375" i="4"/>
  <c r="AG386" i="4"/>
  <c r="AG381" i="4"/>
  <c r="AG387" i="4"/>
  <c r="AG377" i="4"/>
  <c r="AG383" i="4"/>
  <c r="AG127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96" i="2"/>
  <c r="AP95" i="2"/>
  <c r="AP97" i="2"/>
  <c r="AP102" i="2"/>
  <c r="AP99" i="2"/>
  <c r="AP98" i="2"/>
  <c r="AP100" i="2"/>
  <c r="AP101" i="2"/>
  <c r="AP103" i="2"/>
  <c r="AP105" i="2"/>
  <c r="AP104" i="2"/>
  <c r="AP106" i="2"/>
  <c r="AP107" i="2"/>
  <c r="AQ96" i="2"/>
  <c r="AQ95" i="2"/>
  <c r="AQ97" i="2"/>
  <c r="AQ102" i="2"/>
  <c r="AQ99" i="2"/>
  <c r="AQ98" i="2"/>
  <c r="AQ100" i="2"/>
  <c r="AQ101" i="2"/>
  <c r="AQ103" i="2"/>
  <c r="AQ105" i="2"/>
  <c r="AQ104" i="2"/>
  <c r="AQ106" i="2"/>
  <c r="AQ107" i="2"/>
  <c r="AR96" i="2"/>
  <c r="AR95" i="2"/>
  <c r="AR97" i="2"/>
  <c r="AR102" i="2"/>
  <c r="AR99" i="2"/>
  <c r="AR98" i="2"/>
  <c r="AR100" i="2"/>
  <c r="AR101" i="2"/>
  <c r="AR103" i="2"/>
  <c r="AR105" i="2"/>
  <c r="AR104" i="2"/>
  <c r="AR106" i="2"/>
  <c r="AR107" i="2"/>
  <c r="AS96" i="2"/>
  <c r="AS95" i="2"/>
  <c r="AS97" i="2"/>
  <c r="AS102" i="2"/>
  <c r="AS99" i="2"/>
  <c r="AS98" i="2"/>
  <c r="AS100" i="2"/>
  <c r="AS101" i="2"/>
  <c r="AS103" i="2"/>
  <c r="AS105" i="2"/>
  <c r="AS104" i="2"/>
  <c r="AS106" i="2"/>
  <c r="AS107" i="2"/>
  <c r="AT96" i="2"/>
  <c r="AT95" i="2"/>
  <c r="AT97" i="2"/>
  <c r="AT102" i="2"/>
  <c r="AT99" i="2"/>
  <c r="AT98" i="2"/>
  <c r="AT100" i="2"/>
  <c r="AT101" i="2"/>
  <c r="AT103" i="2"/>
  <c r="AT105" i="2"/>
  <c r="AT104" i="2"/>
  <c r="AT106" i="2"/>
  <c r="AT107" i="2"/>
  <c r="AU96" i="2"/>
  <c r="AU95" i="2"/>
  <c r="AU97" i="2"/>
  <c r="AU102" i="2"/>
  <c r="AU99" i="2"/>
  <c r="AU98" i="2"/>
  <c r="AU100" i="2"/>
  <c r="AU101" i="2"/>
  <c r="AU103" i="2"/>
  <c r="AU105" i="2"/>
  <c r="AU104" i="2"/>
  <c r="AU106" i="2"/>
  <c r="AU107" i="2"/>
  <c r="AV96" i="2"/>
  <c r="AV95" i="2"/>
  <c r="AV97" i="2"/>
  <c r="AV102" i="2"/>
  <c r="AV99" i="2"/>
  <c r="AV98" i="2"/>
  <c r="AV100" i="2"/>
  <c r="AV101" i="2"/>
  <c r="AV103" i="2"/>
  <c r="AV105" i="2"/>
  <c r="AV104" i="2"/>
  <c r="AV106" i="2"/>
  <c r="AV107" i="2"/>
  <c r="AW96" i="2"/>
  <c r="AW95" i="2"/>
  <c r="AW97" i="2"/>
  <c r="AW102" i="2"/>
  <c r="AW99" i="2"/>
  <c r="AW98" i="2"/>
  <c r="AW100" i="2"/>
  <c r="AW101" i="2"/>
  <c r="AW103" i="2"/>
  <c r="AW105" i="2"/>
  <c r="AW104" i="2"/>
  <c r="AW106" i="2"/>
  <c r="AW107" i="2"/>
  <c r="AX96" i="2"/>
  <c r="AX95" i="2"/>
  <c r="AX97" i="2"/>
  <c r="AX102" i="2"/>
  <c r="AX99" i="2"/>
  <c r="AX98" i="2"/>
  <c r="AX100" i="2"/>
  <c r="AX101" i="2"/>
  <c r="AX103" i="2"/>
  <c r="AX105" i="2"/>
  <c r="AX104" i="2"/>
  <c r="AX106" i="2"/>
  <c r="AX107" i="2"/>
  <c r="AY96" i="2"/>
  <c r="AY95" i="2"/>
  <c r="AY97" i="2"/>
  <c r="AY102" i="2"/>
  <c r="AY99" i="2"/>
  <c r="AY98" i="2"/>
  <c r="AY100" i="2"/>
  <c r="AY101" i="2"/>
  <c r="AY103" i="2"/>
  <c r="AY105" i="2"/>
  <c r="AY104" i="2"/>
  <c r="AY106" i="2"/>
  <c r="AY107" i="2"/>
  <c r="AZ96" i="2"/>
  <c r="AZ95" i="2"/>
  <c r="AZ97" i="2"/>
  <c r="AZ102" i="2"/>
  <c r="AZ99" i="2"/>
  <c r="AZ98" i="2"/>
  <c r="AZ100" i="2"/>
  <c r="AZ101" i="2"/>
  <c r="AZ103" i="2"/>
  <c r="AZ105" i="2"/>
  <c r="AZ104" i="2"/>
  <c r="AZ106" i="2"/>
  <c r="AZ107" i="2"/>
  <c r="BA96" i="2"/>
  <c r="BA95" i="2"/>
  <c r="BA97" i="2"/>
  <c r="BA102" i="2"/>
  <c r="BA99" i="2"/>
  <c r="BA98" i="2"/>
  <c r="BA100" i="2"/>
  <c r="BA101" i="2"/>
  <c r="BA103" i="2"/>
  <c r="BA105" i="2"/>
  <c r="BA104" i="2"/>
  <c r="BA106" i="2"/>
  <c r="BA107" i="2"/>
  <c r="BB96" i="2"/>
  <c r="BB95" i="2"/>
  <c r="BB97" i="2"/>
  <c r="BB102" i="2"/>
  <c r="BB99" i="2"/>
  <c r="BB98" i="2"/>
  <c r="BB100" i="2"/>
  <c r="BB101" i="2"/>
  <c r="BB103" i="2"/>
  <c r="BB105" i="2"/>
  <c r="BB104" i="2"/>
  <c r="BB106" i="2"/>
  <c r="BB107" i="2"/>
  <c r="BC96" i="2"/>
  <c r="BC95" i="2"/>
  <c r="BC97" i="2"/>
  <c r="BC102" i="2"/>
  <c r="BC99" i="2"/>
  <c r="BC98" i="2"/>
  <c r="BC100" i="2"/>
  <c r="BC101" i="2"/>
  <c r="BC103" i="2"/>
  <c r="BC105" i="2"/>
  <c r="BC104" i="2"/>
  <c r="BC106" i="2"/>
  <c r="BC107" i="2"/>
  <c r="BD96" i="2"/>
  <c r="BD95" i="2"/>
  <c r="BD97" i="2"/>
  <c r="BD102" i="2"/>
  <c r="BD99" i="2"/>
  <c r="BD98" i="2"/>
  <c r="BD100" i="2"/>
  <c r="BD101" i="2"/>
  <c r="BD103" i="2"/>
  <c r="BD105" i="2"/>
  <c r="BD104" i="2"/>
  <c r="BD106" i="2"/>
  <c r="BD107" i="2"/>
  <c r="BE102" i="2"/>
  <c r="BE99" i="2"/>
  <c r="BE98" i="2"/>
  <c r="BE100" i="2"/>
  <c r="BE101" i="2"/>
  <c r="BE103" i="2"/>
  <c r="BE105" i="2"/>
  <c r="BE104" i="2"/>
  <c r="BE106" i="2"/>
  <c r="BF102" i="2"/>
  <c r="BF99" i="2"/>
  <c r="BF98" i="2"/>
  <c r="BF100" i="2"/>
  <c r="BF101" i="2"/>
  <c r="BF103" i="2"/>
  <c r="BF105" i="2"/>
  <c r="BF104" i="2"/>
  <c r="BF106" i="2"/>
  <c r="BG102" i="2"/>
  <c r="BG99" i="2"/>
  <c r="BG98" i="2"/>
  <c r="BG100" i="2"/>
  <c r="BG101" i="2"/>
  <c r="BG103" i="2"/>
  <c r="BG105" i="2"/>
  <c r="BG104" i="2"/>
  <c r="BG106" i="2"/>
  <c r="BH102" i="2"/>
  <c r="BH99" i="2"/>
  <c r="BH98" i="2"/>
  <c r="BH100" i="2"/>
  <c r="BH101" i="2"/>
  <c r="BH103" i="2"/>
  <c r="BH105" i="2"/>
  <c r="BH104" i="2"/>
  <c r="BH106" i="2"/>
  <c r="BI102" i="2"/>
  <c r="BI99" i="2"/>
  <c r="BI98" i="2"/>
  <c r="BI100" i="2"/>
  <c r="BI101" i="2"/>
  <c r="BI103" i="2"/>
  <c r="BI105" i="2"/>
  <c r="BI104" i="2"/>
  <c r="BI106" i="2"/>
  <c r="BJ102" i="2"/>
  <c r="BJ99" i="2"/>
  <c r="BJ98" i="2"/>
  <c r="BJ100" i="2"/>
  <c r="BJ101" i="2"/>
  <c r="BJ103" i="2"/>
  <c r="BJ105" i="2"/>
  <c r="BJ104" i="2"/>
  <c r="BJ106" i="2"/>
  <c r="BK102" i="2"/>
  <c r="BK99" i="2"/>
  <c r="BK98" i="2"/>
  <c r="BK100" i="2"/>
  <c r="BK101" i="2"/>
  <c r="BK103" i="2"/>
  <c r="BK105" i="2"/>
  <c r="BK104" i="2"/>
  <c r="BK106" i="2"/>
  <c r="BL102" i="2"/>
  <c r="BL99" i="2"/>
  <c r="BL98" i="2"/>
  <c r="BL100" i="2"/>
  <c r="BL101" i="2"/>
  <c r="BL103" i="2"/>
  <c r="BL105" i="2"/>
  <c r="BL104" i="2"/>
  <c r="BL106" i="2"/>
  <c r="AO96" i="2"/>
  <c r="AO95" i="2"/>
  <c r="AO97" i="2"/>
  <c r="AO102" i="2"/>
  <c r="AO99" i="2"/>
  <c r="AO98" i="2"/>
  <c r="AO100" i="2"/>
  <c r="AO101" i="2"/>
  <c r="AO103" i="2"/>
  <c r="AO105" i="2"/>
  <c r="AO104" i="2"/>
  <c r="AO106" i="2"/>
  <c r="AO107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8" i="5"/>
  <c r="B389" i="5"/>
  <c r="B392" i="5"/>
  <c r="B390" i="5"/>
  <c r="B391" i="5"/>
  <c r="B396" i="5"/>
  <c r="B411" i="5"/>
  <c r="B414" i="5"/>
  <c r="B393" i="5"/>
  <c r="B397" i="5"/>
  <c r="B398" i="5"/>
  <c r="B399" i="5"/>
  <c r="B400" i="5"/>
  <c r="B406" i="5"/>
  <c r="B407" i="5"/>
  <c r="B408" i="5"/>
  <c r="B409" i="5"/>
  <c r="B413" i="5"/>
  <c r="B394" i="5"/>
  <c r="B395" i="5"/>
  <c r="B404" i="5"/>
  <c r="B405" i="5"/>
  <c r="B412" i="5"/>
  <c r="B415" i="5"/>
  <c r="B416" i="5"/>
  <c r="B417" i="5"/>
  <c r="B401" i="5"/>
  <c r="B410" i="5"/>
  <c r="B403" i="5"/>
  <c r="B402" i="5"/>
  <c r="B34" i="5"/>
  <c r="AA89" i="4"/>
  <c r="AA90" i="4"/>
  <c r="AA93" i="4"/>
  <c r="AA91" i="4"/>
  <c r="AA92" i="4"/>
  <c r="AA248" i="4"/>
  <c r="AA251" i="4"/>
  <c r="AA249" i="4"/>
  <c r="AA250" i="4"/>
  <c r="AA94" i="4"/>
  <c r="AA252" i="4"/>
  <c r="AA16" i="4"/>
  <c r="AA17" i="4"/>
  <c r="AA18" i="4"/>
  <c r="AA19" i="4"/>
  <c r="AA4" i="4"/>
  <c r="AA20" i="4"/>
  <c r="AA95" i="4"/>
  <c r="AA21" i="4"/>
  <c r="AA96" i="4"/>
  <c r="AA97" i="4"/>
  <c r="AA98" i="4"/>
  <c r="AA99" i="4"/>
  <c r="AA100" i="4"/>
  <c r="AA101" i="4"/>
  <c r="AA288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41" i="4"/>
  <c r="AA22" i="4"/>
  <c r="AA23" i="4"/>
  <c r="AA42" i="4"/>
  <c r="AA24" i="4"/>
  <c r="AA25" i="4"/>
  <c r="AA43" i="4"/>
  <c r="AA26" i="4"/>
  <c r="AA27" i="4"/>
  <c r="AA28" i="4"/>
  <c r="AA2" i="4"/>
  <c r="AA122" i="4"/>
  <c r="AA123" i="4"/>
  <c r="AA124" i="4"/>
  <c r="AA44" i="4"/>
  <c r="AA45" i="4"/>
  <c r="AA29" i="4"/>
  <c r="AA30" i="4"/>
  <c r="AA31" i="4"/>
  <c r="AA32" i="4"/>
  <c r="AA33" i="4"/>
  <c r="AA34" i="4"/>
  <c r="AA35" i="4"/>
  <c r="AA46" i="4"/>
  <c r="AA125" i="4"/>
  <c r="AA253" i="4"/>
  <c r="AA47" i="4"/>
  <c r="AA284" i="4"/>
  <c r="AA126" i="4"/>
  <c r="AA133" i="4"/>
  <c r="AA127" i="4"/>
  <c r="AA128" i="4"/>
  <c r="AA129" i="4"/>
  <c r="AA48" i="4"/>
  <c r="AA130" i="4"/>
  <c r="AA131" i="4"/>
  <c r="AA132" i="4"/>
  <c r="AA293" i="4"/>
  <c r="AA134" i="4"/>
  <c r="AA135" i="4"/>
  <c r="AA136" i="4"/>
  <c r="AA137" i="4"/>
  <c r="AA138" i="4"/>
  <c r="AA139" i="4"/>
  <c r="AA140" i="4"/>
  <c r="AA141" i="4"/>
  <c r="AA142" i="4"/>
  <c r="AA301" i="4"/>
  <c r="AA256" i="4"/>
  <c r="AA49" i="4"/>
  <c r="AA257" i="4"/>
  <c r="AA12" i="4"/>
  <c r="AA36" i="4"/>
  <c r="AA303" i="4"/>
  <c r="AA266" i="4"/>
  <c r="AA143" i="4"/>
  <c r="AA144" i="4"/>
  <c r="AA277" i="4"/>
  <c r="AA145" i="4"/>
  <c r="AA285" i="4"/>
  <c r="AA267" i="4"/>
  <c r="AA146" i="4"/>
  <c r="AA258" i="4"/>
  <c r="AA50" i="4"/>
  <c r="AA275" i="4"/>
  <c r="AA147" i="4"/>
  <c r="AA148" i="4"/>
  <c r="AA13" i="4"/>
  <c r="AA37" i="4"/>
  <c r="AA149" i="4"/>
  <c r="AA5" i="4"/>
  <c r="AA150" i="4"/>
  <c r="AA151" i="4"/>
  <c r="AA51" i="4"/>
  <c r="AA152" i="4"/>
  <c r="AA14" i="4"/>
  <c r="AA153" i="4"/>
  <c r="AA154" i="4"/>
  <c r="AA155" i="4"/>
  <c r="AA156" i="4"/>
  <c r="AA278" i="4"/>
  <c r="AA6" i="4"/>
  <c r="AA157" i="4"/>
  <c r="AA52" i="4"/>
  <c r="AA158" i="4"/>
  <c r="AA159" i="4"/>
  <c r="AA7" i="4"/>
  <c r="AA160" i="4"/>
  <c r="AA268" i="4"/>
  <c r="AA161" i="4"/>
  <c r="AA162" i="4"/>
  <c r="AA163" i="4"/>
  <c r="AA164" i="4"/>
  <c r="AA15" i="4"/>
  <c r="AA8" i="4"/>
  <c r="AA269" i="4"/>
  <c r="AA276" i="4"/>
  <c r="AA165" i="4"/>
  <c r="AA259" i="4"/>
  <c r="AA166" i="4"/>
  <c r="AA279" i="4"/>
  <c r="AA167" i="4"/>
  <c r="AA168" i="4"/>
  <c r="AA260" i="4"/>
  <c r="AA169" i="4"/>
  <c r="AA302" i="4"/>
  <c r="AA170" i="4"/>
  <c r="AA171" i="4"/>
  <c r="AA172" i="4"/>
  <c r="AA173" i="4"/>
  <c r="AA174" i="4"/>
  <c r="AA175" i="4"/>
  <c r="AA176" i="4"/>
  <c r="AA53" i="4"/>
  <c r="AA177" i="4"/>
  <c r="AA294" i="4"/>
  <c r="AA295" i="4"/>
  <c r="AA296" i="4"/>
  <c r="AA54" i="4"/>
  <c r="AA55" i="4"/>
  <c r="AA56" i="4"/>
  <c r="AA57" i="4"/>
  <c r="AA58" i="4"/>
  <c r="AA59" i="4"/>
  <c r="AA297" i="4"/>
  <c r="AA60" i="4"/>
  <c r="AA61" i="4"/>
  <c r="AA261" i="4"/>
  <c r="AA178" i="4"/>
  <c r="AA289" i="4"/>
  <c r="AA286" i="4"/>
  <c r="AA290" i="4"/>
  <c r="AA179" i="4"/>
  <c r="AA180" i="4"/>
  <c r="AA62" i="4"/>
  <c r="AA181" i="4"/>
  <c r="AA182" i="4"/>
  <c r="AA3" i="4"/>
  <c r="AA9" i="4"/>
  <c r="AA183" i="4"/>
  <c r="AA10" i="4"/>
  <c r="AA11" i="4"/>
  <c r="AA291" i="4"/>
  <c r="AA184" i="4"/>
  <c r="AA185" i="4"/>
  <c r="AA186" i="4"/>
  <c r="AA187" i="4"/>
  <c r="AA188" i="4"/>
  <c r="AA189" i="4"/>
  <c r="AA190" i="4"/>
  <c r="AA191" i="4"/>
  <c r="AA262" i="4"/>
  <c r="AA263" i="4"/>
  <c r="AA63" i="4"/>
  <c r="AA64" i="4"/>
  <c r="AA192" i="4"/>
  <c r="AA193" i="4"/>
  <c r="AA194" i="4"/>
  <c r="AA195" i="4"/>
  <c r="AA196" i="4"/>
  <c r="AA197" i="4"/>
  <c r="AA198" i="4"/>
  <c r="AA199" i="4"/>
  <c r="AA270" i="4"/>
  <c r="AA271" i="4"/>
  <c r="AA272" i="4"/>
  <c r="AA201" i="4"/>
  <c r="AA202" i="4"/>
  <c r="AA203" i="4"/>
  <c r="AA204" i="4"/>
  <c r="AA65" i="4"/>
  <c r="AA66" i="4"/>
  <c r="AA67" i="4"/>
  <c r="AA68" i="4"/>
  <c r="AA69" i="4"/>
  <c r="AA70" i="4"/>
  <c r="AA205" i="4"/>
  <c r="AA206" i="4"/>
  <c r="AA207" i="4"/>
  <c r="AA264" i="4"/>
  <c r="AA208" i="4"/>
  <c r="AA209" i="4"/>
  <c r="AA212" i="4"/>
  <c r="AA213" i="4"/>
  <c r="AA214" i="4"/>
  <c r="AA215" i="4"/>
  <c r="AA216" i="4"/>
  <c r="AA217" i="4"/>
  <c r="AA218" i="4"/>
  <c r="AA219" i="4"/>
  <c r="AA220" i="4"/>
  <c r="AA221" i="4"/>
  <c r="AA225" i="4"/>
  <c r="AA226" i="4"/>
  <c r="AA227" i="4"/>
  <c r="AA228" i="4"/>
  <c r="AA229" i="4"/>
  <c r="AA292" i="4"/>
  <c r="AA230" i="4"/>
  <c r="AA72" i="4"/>
  <c r="AA280" i="4"/>
  <c r="AA71" i="4"/>
  <c r="AA281" i="4"/>
  <c r="AA231" i="4"/>
  <c r="AA282" i="4"/>
  <c r="AA287" i="4"/>
  <c r="AA273" i="4"/>
  <c r="AA274" i="4"/>
  <c r="AA265" i="4"/>
  <c r="AA298" i="4"/>
  <c r="AA233" i="4"/>
  <c r="AA234" i="4"/>
  <c r="AA235" i="4"/>
  <c r="AA236" i="4"/>
  <c r="AA222" i="4"/>
  <c r="AA299" i="4"/>
  <c r="AA75" i="4"/>
  <c r="AA76" i="4"/>
  <c r="AA77" i="4"/>
  <c r="AA78" i="4"/>
  <c r="AA79" i="4"/>
  <c r="AA80" i="4"/>
  <c r="AA81" i="4"/>
  <c r="AA82" i="4"/>
  <c r="AA83" i="4"/>
  <c r="AA223" i="4"/>
  <c r="AA224" i="4"/>
  <c r="AA84" i="4"/>
  <c r="AA85" i="4"/>
  <c r="AA283" i="4"/>
  <c r="AA237" i="4"/>
  <c r="AA232" i="4"/>
  <c r="AA238" i="4"/>
  <c r="AA239" i="4"/>
  <c r="AA240" i="4"/>
  <c r="AA241" i="4"/>
  <c r="AA242" i="4"/>
  <c r="AA243" i="4"/>
  <c r="AA244" i="4"/>
  <c r="AA300" i="4"/>
  <c r="AA87" i="4"/>
  <c r="AA39" i="4"/>
  <c r="AA245" i="4"/>
  <c r="AA246" i="4"/>
  <c r="AA247" i="4"/>
  <c r="AA40" i="4"/>
  <c r="AA306" i="4"/>
  <c r="AA307" i="4"/>
  <c r="AA305" i="4"/>
  <c r="AA304" i="4"/>
  <c r="AA308" i="4"/>
  <c r="AA313" i="4"/>
  <c r="AA315" i="4"/>
  <c r="AA316" i="4"/>
  <c r="AA317" i="4"/>
  <c r="AA309" i="4"/>
  <c r="AA319" i="4"/>
  <c r="AA318" i="4"/>
  <c r="AA310" i="4"/>
  <c r="AA311" i="4"/>
  <c r="AA312" i="4"/>
  <c r="AA336" i="4"/>
  <c r="AA337" i="4"/>
  <c r="AA338" i="4"/>
  <c r="AA321" i="4"/>
  <c r="AA322" i="4"/>
  <c r="AA323" i="4"/>
  <c r="AA324" i="4"/>
  <c r="AA325" i="4"/>
  <c r="AA326" i="4"/>
  <c r="AA327" i="4"/>
  <c r="AA328" i="4"/>
  <c r="AA348" i="4"/>
  <c r="AA349" i="4"/>
  <c r="AA347" i="4"/>
  <c r="AA350" i="4"/>
  <c r="AA351" i="4"/>
  <c r="AA340" i="4"/>
  <c r="AA341" i="4"/>
  <c r="AA342" i="4"/>
  <c r="AA343" i="4"/>
  <c r="AA346" i="4"/>
  <c r="AA352" i="4"/>
  <c r="AA329" i="4"/>
  <c r="AA330" i="4"/>
  <c r="AA331" i="4"/>
  <c r="AA332" i="4"/>
  <c r="AA320" i="4"/>
  <c r="AA339" i="4"/>
  <c r="AA333" i="4"/>
  <c r="AA334" i="4"/>
  <c r="AA335" i="4"/>
  <c r="AA344" i="4"/>
  <c r="AA345" i="4"/>
  <c r="AA353" i="4"/>
  <c r="AA373" i="4"/>
  <c r="AA368" i="4"/>
  <c r="AA374" i="4"/>
  <c r="AA372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9" i="4"/>
  <c r="AA370" i="4"/>
  <c r="AA367" i="4"/>
  <c r="AA371" i="4"/>
  <c r="AA378" i="4"/>
  <c r="AA376" i="4"/>
  <c r="AA379" i="4"/>
  <c r="AA385" i="4"/>
  <c r="AA380" i="4"/>
  <c r="AA375" i="4"/>
  <c r="AA386" i="4"/>
  <c r="AA381" i="4"/>
  <c r="AA387" i="4"/>
  <c r="AA377" i="4"/>
  <c r="AA383" i="4"/>
  <c r="AA392" i="4"/>
  <c r="AA391" i="4"/>
  <c r="AA390" i="4"/>
  <c r="AA389" i="4"/>
  <c r="AA388" i="4"/>
  <c r="AA405" i="4"/>
  <c r="AA406" i="4"/>
  <c r="AA407" i="4"/>
  <c r="AA393" i="4"/>
  <c r="AA396" i="4"/>
  <c r="AA397" i="4"/>
  <c r="AA398" i="4"/>
  <c r="AA399" i="4"/>
  <c r="AA417" i="4"/>
  <c r="AA408" i="4"/>
  <c r="AA409" i="4"/>
  <c r="AA410" i="4"/>
  <c r="AA411" i="4"/>
  <c r="AA400" i="4"/>
  <c r="AA401" i="4"/>
  <c r="AA402" i="4"/>
  <c r="AA403" i="4"/>
  <c r="AA412" i="4"/>
  <c r="AA394" i="4"/>
  <c r="AA413" i="4"/>
  <c r="AA404" i="4"/>
  <c r="AA395" i="4"/>
  <c r="AA414" i="4"/>
  <c r="AA415" i="4"/>
  <c r="AA416" i="4"/>
  <c r="AA88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8" i="5"/>
  <c r="AM113" i="5"/>
  <c r="AM2" i="5"/>
  <c r="AM389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5" i="5"/>
  <c r="AM396" i="5"/>
  <c r="AM397" i="5"/>
  <c r="AM398" i="5"/>
  <c r="AM399" i="5"/>
  <c r="AM400" i="5"/>
  <c r="AM401" i="5"/>
  <c r="AM403" i="5"/>
  <c r="AM404" i="5"/>
  <c r="AM405" i="5"/>
  <c r="AM406" i="5"/>
  <c r="AM407" i="5"/>
  <c r="AM408" i="5"/>
  <c r="AM409" i="5"/>
  <c r="AM410" i="5"/>
  <c r="AM242" i="5"/>
  <c r="AM412" i="5"/>
  <c r="AM413" i="5"/>
  <c r="AM415" i="5"/>
  <c r="AM416" i="5"/>
  <c r="AM417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0" i="5"/>
  <c r="AM272" i="5"/>
  <c r="AM273" i="5"/>
  <c r="AM120" i="5"/>
  <c r="AM121" i="5"/>
  <c r="AM391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3" i="5"/>
  <c r="AM394" i="5"/>
  <c r="AM402" i="5"/>
  <c r="AM411" i="5"/>
  <c r="AM414" i="5"/>
  <c r="AM243" i="5"/>
  <c r="AM244" i="5"/>
  <c r="AM245" i="5"/>
  <c r="AM246" i="5"/>
  <c r="AM247" i="5"/>
  <c r="AM248" i="5"/>
  <c r="AM249" i="5"/>
  <c r="AM392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9" i="5"/>
  <c r="AP409" i="5"/>
  <c r="AQ408" i="5"/>
  <c r="AP408" i="5"/>
  <c r="AQ393" i="5"/>
  <c r="AP393" i="5"/>
  <c r="AQ394" i="5"/>
  <c r="AP394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7" i="5"/>
  <c r="AP397" i="5"/>
  <c r="AQ417" i="5"/>
  <c r="AP417" i="5"/>
  <c r="AQ412" i="5"/>
  <c r="AP412" i="5"/>
  <c r="AQ411" i="5"/>
  <c r="AP411" i="5"/>
  <c r="AQ410" i="5"/>
  <c r="AP410" i="5"/>
  <c r="AQ407" i="5"/>
  <c r="AP407" i="5"/>
  <c r="AQ406" i="5"/>
  <c r="AP406" i="5"/>
  <c r="AQ404" i="5"/>
  <c r="AP404" i="5"/>
  <c r="AQ403" i="5"/>
  <c r="AP403" i="5"/>
  <c r="AQ402" i="5"/>
  <c r="AP402" i="5"/>
  <c r="AQ400" i="5"/>
  <c r="AP400" i="5"/>
  <c r="AQ399" i="5"/>
  <c r="AP399" i="5"/>
  <c r="AQ396" i="5"/>
  <c r="AP396" i="5"/>
  <c r="AQ401" i="5"/>
  <c r="AP401" i="5"/>
  <c r="AQ395" i="5"/>
  <c r="AP395" i="5"/>
  <c r="AQ416" i="5"/>
  <c r="AP416" i="5"/>
  <c r="AQ415" i="5"/>
  <c r="AP415" i="5"/>
  <c r="AQ414" i="5"/>
  <c r="AP414" i="5"/>
  <c r="AQ413" i="5"/>
  <c r="AP413" i="5"/>
  <c r="AQ405" i="5"/>
  <c r="AP405" i="5"/>
  <c r="AQ398" i="5"/>
  <c r="AP398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5" i="2"/>
  <c r="BE96" i="2"/>
  <c r="BE97" i="2"/>
  <c r="BE107" i="2"/>
  <c r="BF95" i="2"/>
  <c r="BF96" i="2"/>
  <c r="BF97" i="2"/>
  <c r="BF107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5" i="2"/>
  <c r="BL96" i="2"/>
  <c r="BL97" i="2"/>
  <c r="BL107" i="2"/>
  <c r="BK95" i="2"/>
  <c r="BK96" i="2"/>
  <c r="BK97" i="2"/>
  <c r="BK107" i="2"/>
  <c r="BJ95" i="2"/>
  <c r="BJ96" i="2"/>
  <c r="BJ97" i="2"/>
  <c r="BJ107" i="2"/>
  <c r="BI95" i="2"/>
  <c r="BI96" i="2"/>
  <c r="BI97" i="2"/>
  <c r="BI107" i="2"/>
  <c r="BH95" i="2"/>
  <c r="BH96" i="2"/>
  <c r="BH97" i="2"/>
  <c r="BH107" i="2"/>
  <c r="BG95" i="2"/>
  <c r="BG96" i="2"/>
  <c r="BG97" i="2"/>
  <c r="BG107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7" i="4"/>
  <c r="AJ85" i="4"/>
  <c r="AJ232" i="4"/>
  <c r="AJ287" i="4"/>
  <c r="AJ222" i="4"/>
  <c r="AJ71" i="4"/>
  <c r="AJ220" i="4"/>
  <c r="AJ219" i="4"/>
  <c r="AJ218" i="4"/>
  <c r="AJ217" i="4"/>
  <c r="AJ215" i="4"/>
  <c r="AJ182" i="4"/>
  <c r="AJ178" i="4"/>
  <c r="AJ173" i="4"/>
  <c r="AJ172" i="4"/>
  <c r="AJ171" i="4"/>
  <c r="AJ161" i="4"/>
  <c r="AJ157" i="4"/>
  <c r="AJ51" i="4"/>
  <c r="AJ151" i="4"/>
  <c r="AJ50" i="4"/>
  <c r="AJ142" i="4"/>
  <c r="AJ123" i="4"/>
  <c r="AJ122" i="4"/>
  <c r="AJ39" i="4"/>
  <c r="AJ259" i="4"/>
  <c r="AJ303" i="4"/>
  <c r="AJ61" i="4"/>
  <c r="AJ132" i="4"/>
  <c r="AJ131" i="4"/>
  <c r="AJ130" i="4"/>
  <c r="AJ34" i="4"/>
  <c r="AJ33" i="4"/>
  <c r="AJ32" i="4"/>
  <c r="AJ120" i="4"/>
  <c r="AJ236" i="4"/>
  <c r="AJ235" i="4"/>
  <c r="AJ201" i="4"/>
  <c r="AJ183" i="4"/>
  <c r="AJ3" i="4"/>
  <c r="AJ62" i="4"/>
  <c r="AJ294" i="4"/>
  <c r="AJ158" i="4"/>
  <c r="AJ155" i="4"/>
  <c r="AJ150" i="4"/>
  <c r="AJ149" i="4"/>
  <c r="AJ147" i="4"/>
  <c r="AJ124" i="4"/>
  <c r="AJ119" i="4"/>
  <c r="AJ116" i="4"/>
  <c r="AJ115" i="4"/>
  <c r="AJ114" i="4"/>
  <c r="AJ113" i="4"/>
  <c r="AJ112" i="4"/>
  <c r="AJ95" i="4"/>
  <c r="AJ40" i="4"/>
  <c r="AJ257" i="4"/>
  <c r="AJ140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83" i="4"/>
  <c r="AJ233" i="4"/>
  <c r="AJ231" i="4"/>
  <c r="AJ225" i="4"/>
  <c r="AJ224" i="4"/>
  <c r="AJ223" i="4"/>
  <c r="AJ169" i="4"/>
  <c r="AJ279" i="4"/>
  <c r="AJ159" i="4"/>
  <c r="AJ146" i="4"/>
  <c r="AJ37" i="4"/>
  <c r="AJ280" i="4"/>
  <c r="AJ292" i="4"/>
  <c r="AJ272" i="4"/>
  <c r="AJ271" i="4"/>
  <c r="AJ270" i="4"/>
  <c r="AJ263" i="4"/>
  <c r="AJ262" i="4"/>
  <c r="AJ184" i="4"/>
  <c r="AJ268" i="4"/>
  <c r="AJ144" i="4"/>
  <c r="AJ143" i="4"/>
  <c r="AJ138" i="4"/>
  <c r="AJ234" i="4"/>
  <c r="AJ265" i="4"/>
  <c r="AJ274" i="4"/>
  <c r="AJ273" i="4"/>
  <c r="AJ216" i="4"/>
  <c r="AJ213" i="4"/>
  <c r="AJ212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70" i="4"/>
  <c r="AJ168" i="4"/>
  <c r="AJ167" i="4"/>
  <c r="AJ166" i="4"/>
  <c r="AJ164" i="4"/>
  <c r="AJ160" i="4"/>
  <c r="AJ153" i="4"/>
  <c r="AJ152" i="4"/>
  <c r="AJ275" i="4"/>
  <c r="AJ266" i="4"/>
  <c r="AJ301" i="4"/>
  <c r="AJ137" i="4"/>
  <c r="AJ133" i="4"/>
  <c r="AJ121" i="4"/>
  <c r="AJ117" i="4"/>
  <c r="AJ229" i="4"/>
  <c r="AJ228" i="4"/>
  <c r="AJ227" i="4"/>
  <c r="AJ226" i="4"/>
  <c r="AJ221" i="4"/>
  <c r="AJ181" i="4"/>
  <c r="AJ59" i="4"/>
  <c r="AJ58" i="4"/>
  <c r="AJ57" i="4"/>
  <c r="AJ15" i="4"/>
  <c r="AJ162" i="4"/>
  <c r="AJ7" i="4"/>
  <c r="AJ14" i="4"/>
  <c r="AJ148" i="4"/>
  <c r="AJ129" i="4"/>
  <c r="AJ128" i="4"/>
  <c r="AJ83" i="4"/>
  <c r="AJ72" i="4"/>
  <c r="AJ230" i="4"/>
  <c r="AJ66" i="4"/>
  <c r="AJ65" i="4"/>
  <c r="AJ64" i="4"/>
  <c r="AJ180" i="4"/>
  <c r="AJ246" i="4"/>
  <c r="AJ245" i="4"/>
  <c r="AJ81" i="4"/>
  <c r="AJ80" i="4"/>
  <c r="AJ69" i="4"/>
  <c r="AJ68" i="4"/>
  <c r="AJ139" i="4"/>
  <c r="AJ118" i="4"/>
  <c r="AJ214" i="4"/>
  <c r="AJ67" i="4"/>
  <c r="AJ185" i="4"/>
  <c r="AJ11" i="4"/>
  <c r="AJ10" i="4"/>
  <c r="AJ9" i="4"/>
  <c r="AJ261" i="4"/>
  <c r="AJ60" i="4"/>
  <c r="AJ52" i="4"/>
  <c r="AJ256" i="4"/>
  <c r="AJ134" i="4"/>
  <c r="AJ48" i="4"/>
  <c r="AJ126" i="4"/>
  <c r="AJ284" i="4"/>
  <c r="AJ247" i="4"/>
  <c r="AJ87" i="4"/>
  <c r="AJ244" i="4"/>
  <c r="AJ84" i="4"/>
  <c r="AJ82" i="4"/>
  <c r="AJ70" i="4"/>
  <c r="AJ63" i="4"/>
  <c r="AJ179" i="4"/>
  <c r="AJ177" i="4"/>
  <c r="AJ12" i="4"/>
  <c r="AJ49" i="4"/>
  <c r="AJ136" i="4"/>
  <c r="AJ135" i="4"/>
  <c r="AJ296" i="4"/>
  <c r="AJ260" i="4"/>
  <c r="AJ278" i="4"/>
  <c r="AJ258" i="4"/>
  <c r="AJ250" i="4"/>
  <c r="AJ249" i="4"/>
  <c r="AJ248" i="4"/>
  <c r="AJ300" i="4"/>
  <c r="AJ281" i="4"/>
  <c r="AJ290" i="4"/>
  <c r="AJ297" i="4"/>
  <c r="AJ295" i="4"/>
  <c r="AJ293" i="4"/>
  <c r="AJ19" i="4"/>
  <c r="AJ18" i="4"/>
  <c r="AJ17" i="4"/>
  <c r="AJ16" i="4"/>
  <c r="AJ291" i="4"/>
  <c r="AJ286" i="4"/>
  <c r="AJ289" i="4"/>
  <c r="AJ288" i="4"/>
  <c r="AJ79" i="4"/>
  <c r="AJ78" i="4"/>
  <c r="AJ77" i="4"/>
  <c r="AJ76" i="4"/>
  <c r="AJ75" i="4"/>
  <c r="AJ8" i="4"/>
  <c r="AJ5" i="4"/>
  <c r="AJ243" i="4"/>
  <c r="AJ242" i="4"/>
  <c r="AJ241" i="4"/>
  <c r="AJ240" i="4"/>
  <c r="AJ239" i="4"/>
  <c r="AJ238" i="4"/>
  <c r="AJ282" i="4"/>
  <c r="AJ285" i="4"/>
  <c r="AJ36" i="4"/>
  <c r="AJ105" i="4"/>
  <c r="AJ102" i="4"/>
  <c r="AJ252" i="4"/>
  <c r="AJ94" i="4"/>
  <c r="AJ251" i="4"/>
  <c r="AJ92" i="4"/>
  <c r="AJ91" i="4"/>
  <c r="AJ90" i="4"/>
  <c r="AJ89" i="4"/>
  <c r="AJ206" i="4"/>
  <c r="AJ203" i="4"/>
  <c r="AJ202" i="4"/>
  <c r="AJ209" i="4"/>
  <c r="AJ208" i="4"/>
  <c r="AJ264" i="4"/>
  <c r="AJ207" i="4"/>
  <c r="AJ205" i="4"/>
  <c r="AJ204" i="4"/>
  <c r="AJ302" i="4"/>
  <c r="AJ165" i="4"/>
  <c r="AJ276" i="4"/>
  <c r="AJ269" i="4"/>
  <c r="AJ156" i="4"/>
  <c r="AJ125" i="4"/>
  <c r="AJ107" i="4"/>
  <c r="AJ106" i="4"/>
  <c r="AJ253" i="4"/>
  <c r="AJ53" i="4"/>
  <c r="AJ176" i="4"/>
  <c r="AJ101" i="4"/>
  <c r="AJ99" i="4"/>
  <c r="AJ98" i="4"/>
  <c r="AJ56" i="4"/>
  <c r="AJ55" i="4"/>
  <c r="AJ54" i="4"/>
  <c r="AJ6" i="4"/>
  <c r="AJ13" i="4"/>
  <c r="AJ45" i="4"/>
  <c r="AJ44" i="4"/>
  <c r="AJ267" i="4"/>
  <c r="AJ277" i="4"/>
  <c r="AJ154" i="4"/>
  <c r="AJ145" i="4"/>
  <c r="AJ174" i="4"/>
  <c r="AJ100" i="4"/>
  <c r="AJ97" i="4"/>
  <c r="AJ96" i="4"/>
  <c r="AJ237" i="4"/>
  <c r="AJ299" i="4"/>
  <c r="AJ298" i="4"/>
  <c r="AJ175" i="4"/>
  <c r="AJ163" i="4"/>
  <c r="AJ141" i="4"/>
  <c r="AJ47" i="4"/>
  <c r="AJ46" i="4"/>
  <c r="AJ111" i="4"/>
  <c r="AJ110" i="4"/>
  <c r="AJ109" i="4"/>
  <c r="AJ108" i="4"/>
  <c r="AJ104" i="4"/>
  <c r="AJ103" i="4"/>
  <c r="AJ93" i="4"/>
  <c r="AM26" i="2"/>
  <c r="AZ407" i="5"/>
  <c r="AZ417" i="5"/>
  <c r="AZ416" i="5"/>
  <c r="AZ415" i="5"/>
  <c r="AZ414" i="5"/>
  <c r="AZ413" i="5"/>
  <c r="AZ412" i="5"/>
  <c r="AZ411" i="5"/>
  <c r="AZ410" i="5"/>
  <c r="AZ409" i="5"/>
  <c r="AZ408" i="5"/>
  <c r="AZ406" i="5"/>
  <c r="AZ405" i="5"/>
  <c r="AZ404" i="5"/>
  <c r="AZ403" i="5"/>
  <c r="AZ402" i="5"/>
  <c r="AZ401" i="5"/>
  <c r="AZ400" i="5"/>
  <c r="AZ399" i="5"/>
  <c r="AZ398" i="5"/>
  <c r="AZ397" i="5"/>
  <c r="AZ394" i="5"/>
  <c r="AZ393" i="5"/>
  <c r="AZ395" i="5"/>
  <c r="AZ396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J88" i="4"/>
  <c r="J28" i="3"/>
  <c r="J21" i="3"/>
  <c r="J36" i="3"/>
  <c r="J43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399" i="5"/>
  <c r="BA249" i="5"/>
  <c r="BA60" i="5"/>
  <c r="BA256" i="5"/>
  <c r="BA244" i="5"/>
  <c r="BA271" i="5"/>
  <c r="BA242" i="5"/>
  <c r="BA222" i="5"/>
  <c r="BA139" i="5"/>
  <c r="BA184" i="5"/>
  <c r="BA8" i="5"/>
  <c r="BA124" i="5"/>
  <c r="BA395" i="5"/>
  <c r="BA119" i="5"/>
  <c r="BA210" i="5"/>
  <c r="BA247" i="5"/>
  <c r="BA245" i="5"/>
  <c r="BA243" i="5"/>
  <c r="BA401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5" i="5"/>
  <c r="BA52" i="5"/>
  <c r="BA143" i="5"/>
  <c r="BA412" i="5"/>
  <c r="BA177" i="5"/>
  <c r="BA149" i="5"/>
  <c r="BA153" i="5"/>
  <c r="BA417" i="5"/>
  <c r="BA408" i="5"/>
  <c r="BA406" i="5"/>
  <c r="BA405" i="5"/>
  <c r="BA400" i="5"/>
  <c r="BA398" i="5"/>
  <c r="BA393" i="5"/>
  <c r="BA50" i="5"/>
  <c r="BA259" i="5"/>
  <c r="BA154" i="5"/>
  <c r="BA402" i="5"/>
  <c r="BA59" i="5"/>
  <c r="BA56" i="5"/>
  <c r="BA403" i="5"/>
  <c r="BA53" i="5"/>
  <c r="BA414" i="5"/>
  <c r="BA67" i="5"/>
  <c r="BA65" i="5"/>
  <c r="BA176" i="5"/>
  <c r="BA66" i="5"/>
  <c r="BA38" i="5"/>
  <c r="BA416" i="5"/>
  <c r="BA404" i="5"/>
  <c r="BA39" i="5"/>
  <c r="BA40" i="5"/>
  <c r="BA41" i="5"/>
  <c r="BA103" i="5"/>
  <c r="BA292" i="5"/>
  <c r="BA285" i="5"/>
  <c r="BA61" i="5"/>
  <c r="BA410" i="5"/>
  <c r="BA411" i="5"/>
  <c r="BA394" i="5"/>
  <c r="BA47" i="5"/>
  <c r="BA178" i="5"/>
  <c r="BA42" i="5"/>
  <c r="BA189" i="5"/>
  <c r="BA97" i="5"/>
  <c r="BA162" i="5"/>
  <c r="BA409" i="5"/>
  <c r="BA407" i="5"/>
  <c r="BA397" i="5"/>
  <c r="BA413" i="5"/>
  <c r="BA255" i="5"/>
  <c r="BA264" i="5"/>
  <c r="BA286" i="5"/>
  <c r="Y228" i="4"/>
  <c r="Y49" i="4"/>
  <c r="Y273" i="4"/>
  <c r="Y274" i="4"/>
  <c r="X2" i="12"/>
  <c r="S2" i="12"/>
  <c r="T2" i="12"/>
  <c r="X298" i="4"/>
  <c r="X299" i="4"/>
  <c r="X141" i="4"/>
  <c r="X237" i="4"/>
  <c r="X36" i="4"/>
  <c r="X163" i="4"/>
  <c r="X110" i="4"/>
  <c r="X46" i="4"/>
  <c r="X111" i="4"/>
  <c r="X103" i="4"/>
  <c r="X108" i="4"/>
  <c r="W2" i="12"/>
  <c r="Z228" i="4"/>
  <c r="Z49" i="4"/>
  <c r="Z273" i="4"/>
  <c r="Z274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7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J37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+1 </t>
        </r>
      </text>
    </comment>
    <comment ref="AE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-3</t>
        </r>
      </text>
    </comment>
    <comment ref="AH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+3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11" type="6" refreshedVersion="0" background="1" saveData="1">
    <textPr fileType="mac" codePage="10000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6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7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9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0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1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2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3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<sst xmlns="http://schemas.openxmlformats.org/spreadsheetml/2006/main" count="18197" uniqueCount="1722">
  <si>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</si>
  <si>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</si>
  <si>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</si>
  <si>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</si>
  <si>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</si>
  <si>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</si>
  <si>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</si>
  <si>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</si>
  <si>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</si>
  <si>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</si>
  <si>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</si>
  <si>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</si>
  <si>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</si>
  <si>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</si>
  <si>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</si>
  <si>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</si>
  <si>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</si>
  <si>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</si>
  <si>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</si>
  <si>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</si>
  <si>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</si>
  <si>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</si>
  <si>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</si>
  <si>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</si>
  <si>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</si>
  <si>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</si>
  <si>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</si>
  <si>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</si>
  <si>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</si>
  <si>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</si>
  <si>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</si>
  <si>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</si>
  <si>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</si>
  <si>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</si>
  <si>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</si>
  <si>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</si>
  <si>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</si>
  <si>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</si>
  <si>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</si>
  <si>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</si>
  <si>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</si>
  <si>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</si>
  <si>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</si>
  <si>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</si>
  <si>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</si>
  <si>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</si>
  <si>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</si>
  <si>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</si>
  <si>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</si>
  <si>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</si>
  <si>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</si>
  <si>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</si>
  <si>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</si>
  <si>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</si>
  <si>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</si>
  <si>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</si>
  <si>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</si>
  <si>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</si>
  <si>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</si>
  <si>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</si>
  <si>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</si>
  <si>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</si>
  <si>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</si>
  <si>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</si>
  <si>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</si>
  <si>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</si>
  <si>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</si>
  <si>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</si>
  <si>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</si>
  <si>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</si>
  <si>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</si>
  <si>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</si>
  <si>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</si>
  <si>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</si>
  <si>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</si>
  <si>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</si>
  <si>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</si>
  <si>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</si>
  <si>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</si>
  <si>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</si>
  <si>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</si>
  <si>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</si>
  <si>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</si>
  <si>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</si>
  <si>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</si>
  <si>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</si>
  <si>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</si>
  <si>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</si>
  <si>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</si>
  <si>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</si>
  <si>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</si>
  <si>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</si>
  <si>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</si>
  <si>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</si>
  <si>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</si>
  <si>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</si>
  <si>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</si>
  <si>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</si>
  <si>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</si>
  <si>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</si>
  <si>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</si>
  <si>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</si>
  <si>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</si>
  <si>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</si>
  <si>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</si>
  <si>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</si>
  <si>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</si>
  <si>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</si>
  <si>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</si>
  <si>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</si>
  <si>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</si>
  <si>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</si>
  <si>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</si>
  <si>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</si>
  <si>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</si>
  <si>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</si>
  <si>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</si>
  <si>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</si>
  <si>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</si>
  <si>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</si>
  <si>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</si>
  <si>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</si>
  <si>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</si>
  <si>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</si>
  <si>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</si>
  <si>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</si>
  <si>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</si>
  <si>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</si>
  <si>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</si>
  <si>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</si>
  <si>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</si>
  <si>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</si>
  <si>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</si>
  <si>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</si>
  <si>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</si>
  <si>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</si>
  <si>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</si>
  <si>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</si>
  <si>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</si>
  <si>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</si>
  <si>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</si>
  <si>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</si>
  <si>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</si>
  <si>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</si>
  <si>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</si>
  <si>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</si>
  <si>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</si>
  <si>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</si>
  <si>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</si>
  <si>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</si>
  <si>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</si>
  <si>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</si>
  <si>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</si>
  <si>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</si>
  <si>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</si>
  <si>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</si>
  <si>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</si>
  <si>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</si>
  <si>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</si>
  <si>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</si>
  <si>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</si>
  <si>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</si>
  <si>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</si>
  <si>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</si>
  <si>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</si>
  <si>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</si>
  <si>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</si>
  <si>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</si>
  <si>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</si>
  <si>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</si>
  <si>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</si>
  <si>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</si>
  <si>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</si>
  <si>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</si>
  <si>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</si>
  <si>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</si>
  <si>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</si>
  <si>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</si>
  <si>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</si>
  <si>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</si>
  <si>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</si>
  <si>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</si>
  <si>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</si>
  <si>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</si>
  <si>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</si>
  <si>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</si>
  <si>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</si>
  <si>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</si>
  <si>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</si>
  <si>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</si>
  <si>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</si>
  <si>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</si>
  <si>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</si>
  <si>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</si>
  <si>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</si>
  <si>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</si>
  <si>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</si>
  <si>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</si>
  <si>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</si>
  <si>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</si>
  <si>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</si>
  <si>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</si>
  <si>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</si>
  <si>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</si>
  <si>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</si>
  <si>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</si>
  <si>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</si>
  <si>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</si>
  <si>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</si>
  <si>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</si>
  <si>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</si>
  <si>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</si>
  <si>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</si>
  <si>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</si>
  <si>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</si>
  <si>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</si>
  <si>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</si>
  <si>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</si>
  <si>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</si>
  <si>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</si>
  <si>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</si>
  <si>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</si>
  <si>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</si>
  <si>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</si>
  <si>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</si>
  <si>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</si>
  <si>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</si>
  <si>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</si>
  <si>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</si>
  <si>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</si>
  <si>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</si>
  <si>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</si>
  <si>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</si>
  <si>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</si>
  <si>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</si>
  <si>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</si>
  <si>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</si>
  <si>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</si>
  <si>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</si>
  <si>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</si>
  <si>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</si>
  <si>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</si>
  <si>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</si>
  <si>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</si>
  <si>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</si>
  <si>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</si>
  <si>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</si>
  <si>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</si>
  <si>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</si>
  <si>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</si>
  <si>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</si>
  <si>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</si>
  <si>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</si>
  <si>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</si>
  <si>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</si>
  <si>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</si>
  <si>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</si>
  <si>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</si>
  <si>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</si>
  <si>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</si>
  <si>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</si>
  <si>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</si>
  <si>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</si>
  <si>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</si>
  <si>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</si>
  <si>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</si>
  <si>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</si>
  <si>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</si>
  <si>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</si>
  <si>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</si>
  <si>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</si>
  <si>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</si>
  <si>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</si>
  <si>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</si>
  <si>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</si>
  <si>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</si>
  <si>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</si>
  <si>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</si>
  <si>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</si>
  <si>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</si>
  <si>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</si>
  <si>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</si>
  <si>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</si>
  <si>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</si>
  <si>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</si>
  <si>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</si>
  <si>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</si>
  <si>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</si>
  <si>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</si>
  <si>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</si>
  <si>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</si>
  <si>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</si>
  <si>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</si>
  <si>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</si>
  <si>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</si>
  <si>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</si>
  <si>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</si>
  <si>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</si>
  <si>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</si>
  <si>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</si>
  <si>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</si>
  <si>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</si>
  <si>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</si>
  <si>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</si>
  <si>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</si>
  <si>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</si>
  <si>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</si>
  <si>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</si>
  <si>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</si>
  <si>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</si>
  <si>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</si>
  <si>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</si>
  <si>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</si>
  <si>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</si>
  <si>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</si>
  <si>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</si>
  <si>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</si>
  <si>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</si>
  <si>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</si>
  <si>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</si>
  <si>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</si>
  <si>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</si>
  <si>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</si>
  <si>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</si>
  <si>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</si>
  <si>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</si>
  <si>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</si>
  <si>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</si>
  <si>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</si>
  <si>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</si>
  <si>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</si>
  <si>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</si>
  <si>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</si>
  <si>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</si>
  <si>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</si>
  <si>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</si>
  <si>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</si>
  <si>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</si>
  <si>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</si>
  <si>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</si>
  <si>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</si>
  <si>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</si>
  <si>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</si>
  <si>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</si>
  <si>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</si>
  <si>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</si>
  <si>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</si>
  <si>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</si>
  <si>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</si>
  <si>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</si>
  <si>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</si>
  <si>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</si>
  <si>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</si>
  <si>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</si>
  <si>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</si>
  <si>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</si>
  <si>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</si>
  <si>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</si>
  <si>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</si>
  <si>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</si>
  <si>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</si>
  <si>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</si>
  <si>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</si>
  <si>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</si>
  <si>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</si>
  <si>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</si>
  <si>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</si>
  <si>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</si>
  <si>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</si>
  <si>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</si>
  <si>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</si>
  <si>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</si>
  <si>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</si>
  <si>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</si>
  <si>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</si>
  <si>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</si>
  <si>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</si>
  <si>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</si>
  <si>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</si>
  <si>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</si>
  <si>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</si>
  <si>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</si>
  <si>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</si>
  <si>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</si>
  <si>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</si>
  <si>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</si>
  <si>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</si>
  <si>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</si>
  <si>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</si>
  <si>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</si>
  <si>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</si>
  <si>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</si>
  <si>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</si>
  <si>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</si>
  <si>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</si>
  <si>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</si>
  <si>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</si>
  <si>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</si>
  <si>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</si>
  <si>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</si>
  <si>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</si>
  <si>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</si>
  <si>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</si>
  <si>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</si>
  <si>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</si>
  <si>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</si>
  <si>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</si>
  <si>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</si>
  <si>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</si>
  <si>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</si>
  <si>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</si>
  <si>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</si>
  <si>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</si>
  <si>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</si>
  <si>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</si>
  <si>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</si>
  <si>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</si>
  <si>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</si>
  <si>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</si>
  <si>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</si>
  <si>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</si>
  <si>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</si>
  <si>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</si>
  <si>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</si>
  <si>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</si>
  <si>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</si>
  <si>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</si>
  <si>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</si>
  <si>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</si>
  <si>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</si>
  <si>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</si>
  <si>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</si>
  <si>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</si>
  <si>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</si>
  <si>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</si>
  <si>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</si>
  <si>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</si>
  <si>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</si>
  <si>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</si>
  <si>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</si>
  <si>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</si>
  <si>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</si>
  <si>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</si>
  <si>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</si>
  <si>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</si>
  <si>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</si>
  <si>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</si>
  <si>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</si>
  <si>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</si>
  <si>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</si>
  <si>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</si>
  <si>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</si>
  <si>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</si>
  <si>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</si>
  <si>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</si>
  <si>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</si>
  <si>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</si>
  <si>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</si>
  <si>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</si>
  <si>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</si>
  <si>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</si>
  <si>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</si>
  <si>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</si>
  <si>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</si>
  <si>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</si>
  <si>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</si>
  <si>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</si>
  <si>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</si>
  <si>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</si>
  <si>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</si>
  <si>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</si>
  <si>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</si>
  <si>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</si>
  <si>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</si>
  <si>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</si>
  <si>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</si>
  <si>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</si>
  <si>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</si>
  <si>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</si>
  <si>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</si>
  <si>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</si>
  <si>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</si>
  <si>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</si>
  <si>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</si>
  <si>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</si>
  <si>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</si>
  <si>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</si>
  <si>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</si>
  <si>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</si>
  <si>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</si>
  <si>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</si>
  <si>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</si>
  <si>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</si>
  <si>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</si>
  <si>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</si>
  <si>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</si>
  <si>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</si>
  <si>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</si>
  <si>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</si>
  <si>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</si>
  <si>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</si>
  <si>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</si>
  <si>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</si>
  <si>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</si>
  <si>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</si>
  <si>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</si>
  <si>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</si>
  <si>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</si>
  <si>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</si>
  <si>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</si>
  <si>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</si>
  <si>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</si>
  <si>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</si>
  <si>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</si>
  <si>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</si>
  <si>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</si>
  <si>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</si>
  <si>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</si>
  <si>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</si>
  <si>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</si>
  <si>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</si>
  <si>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</si>
  <si>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</si>
  <si>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</si>
  <si>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</si>
  <si>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</si>
  <si>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</si>
  <si>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</si>
  <si>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</si>
  <si>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</si>
  <si>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</si>
  <si>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</si>
  <si>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</si>
  <si>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</si>
  <si>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</si>
  <si>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</si>
  <si>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</si>
  <si>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</si>
  <si>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</si>
  <si>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</si>
  <si>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</si>
  <si>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</si>
  <si>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</si>
  <si>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</si>
  <si>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</si>
  <si>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</si>
  <si>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</si>
  <si>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</si>
  <si>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</si>
  <si>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</si>
  <si>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</si>
  <si>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</si>
  <si>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</si>
  <si>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</si>
  <si>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</si>
  <si>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</si>
  <si>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</si>
  <si>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</si>
  <si>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</si>
  <si>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</si>
  <si>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</si>
  <si>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</si>
  <si>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</si>
  <si>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</si>
  <si>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</si>
  <si>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</si>
  <si>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</si>
  <si>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</si>
  <si>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</si>
  <si>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</si>
  <si>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</si>
  <si>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</si>
  <si>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</si>
  <si>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</si>
  <si>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</si>
  <si>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</si>
  <si>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</si>
  <si>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</si>
  <si>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</si>
  <si>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</si>
  <si>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</si>
  <si>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</si>
  <si>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</si>
  <si>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</si>
  <si>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</si>
  <si>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</si>
  <si>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</si>
  <si>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</si>
  <si>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</si>
  <si>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</si>
  <si>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</si>
  <si>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</si>
  <si>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</si>
  <si>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</si>
  <si>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</si>
  <si>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</si>
  <si>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</si>
  <si>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</si>
  <si>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</si>
  <si>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</si>
  <si>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</si>
  <si>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</si>
  <si>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</si>
  <si>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</si>
  <si>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</si>
  <si>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</si>
  <si>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</si>
  <si>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</si>
  <si>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</si>
  <si>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</si>
  <si>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</si>
  <si>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</si>
  <si>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</si>
  <si>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</si>
  <si>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</si>
  <si>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</si>
  <si>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</si>
  <si>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</si>
  <si>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</si>
  <si>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</si>
  <si>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</si>
  <si>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</si>
  <si>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</si>
  <si>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</si>
  <si>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</si>
  <si>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</si>
  <si>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</si>
  <si>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</si>
  <si>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</si>
  <si>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</si>
  <si>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</si>
  <si>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</si>
  <si>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</si>
  <si>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</si>
  <si>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</si>
  <si>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</si>
  <si>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</si>
  <si>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</si>
  <si>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</si>
  <si>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</si>
  <si>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</si>
  <si>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</si>
  <si>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</si>
  <si>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</si>
  <si>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</si>
  <si>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</si>
  <si>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</si>
  <si>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</si>
  <si>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</si>
  <si>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</si>
  <si>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</si>
  <si>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</si>
  <si>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</si>
  <si>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</si>
  <si>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</si>
  <si>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</si>
  <si>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</si>
  <si>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</si>
  <si>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</si>
  <si>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</si>
  <si>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</si>
  <si>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</si>
  <si>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</si>
  <si>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</si>
  <si>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</si>
  <si>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</si>
  <si>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</si>
  <si>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</si>
  <si>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</si>
  <si>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</si>
  <si>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</si>
  <si>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</si>
  <si>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</si>
  <si>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</si>
  <si>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</si>
  <si>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</si>
  <si>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</si>
  <si>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</si>
  <si>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</si>
  <si>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</si>
  <si>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</si>
  <si>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</si>
  <si>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</si>
  <si>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</si>
  <si>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</si>
  <si>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</si>
  <si>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</si>
  <si>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</si>
  <si>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</si>
  <si>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</si>
  <si>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</si>
  <si>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</si>
  <si>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</si>
  <si>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</si>
  <si>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</si>
  <si>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</si>
  <si>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</si>
  <si>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</si>
  <si>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</si>
  <si>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</si>
  <si>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</si>
  <si>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</si>
  <si>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</si>
  <si>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</si>
  <si>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</si>
  <si>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</si>
  <si>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</si>
  <si>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</si>
  <si>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</si>
  <si>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</si>
  <si>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</si>
  <si>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</si>
  <si>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</si>
  <si>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</si>
  <si>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</si>
  <si>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</si>
  <si>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</si>
  <si>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</si>
  <si>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</si>
  <si>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</si>
  <si>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</si>
  <si>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</si>
  <si>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</si>
  <si>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</si>
  <si>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</si>
  <si>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</si>
  <si>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</si>
  <si>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</si>
  <si>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</si>
  <si>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</si>
  <si>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</si>
  <si>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</si>
  <si>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</si>
  <si>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</si>
  <si>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</si>
  <si>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</si>
  <si>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</si>
  <si>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</si>
  <si>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</si>
  <si>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</si>
  <si>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</si>
  <si>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</si>
  <si>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</si>
  <si>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</si>
  <si>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</si>
  <si>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</si>
  <si>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</si>
  <si>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</si>
  <si>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</si>
  <si>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</si>
  <si>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</si>
  <si>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</si>
  <si>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</si>
  <si>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</si>
  <si>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</si>
  <si>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</si>
  <si>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</si>
  <si>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</si>
  <si>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</si>
  <si>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</si>
  <si>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</si>
  <si>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</si>
  <si>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</si>
  <si>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</si>
  <si>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</si>
  <si>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</si>
  <si>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</si>
  <si>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</si>
  <si>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</si>
  <si>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</si>
  <si>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</si>
  <si>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</si>
  <si>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</si>
  <si>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</si>
  <si>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</si>
  <si>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</si>
  <si>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</si>
  <si>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</si>
  <si>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</si>
  <si>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</si>
  <si>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</si>
  <si>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</si>
  <si>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</si>
  <si>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</si>
  <si>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</si>
  <si>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</si>
  <si>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</si>
  <si>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</si>
  <si>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</si>
  <si>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</si>
  <si>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</si>
  <si>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</si>
  <si>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</si>
  <si>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</si>
  <si>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</si>
  <si>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</si>
  <si>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</si>
  <si>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</si>
  <si>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</si>
  <si>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</si>
  <si>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</si>
  <si>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</si>
  <si>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</si>
  <si>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</si>
  <si>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</si>
  <si>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</si>
  <si>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</si>
  <si>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</si>
  <si>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</si>
  <si>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</si>
  <si>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</si>
  <si>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</si>
  <si>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</si>
  <si>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</si>
  <si>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</si>
  <si>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</si>
  <si>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</si>
  <si>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</si>
  <si>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</si>
  <si>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</si>
  <si>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</si>
  <si>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</si>
  <si>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</si>
  <si>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</si>
  <si>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</si>
  <si>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</si>
  <si>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</si>
  <si>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</si>
  <si>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</si>
  <si>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</si>
  <si>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</si>
  <si>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</si>
  <si>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</si>
  <si>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</si>
  <si>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</si>
  <si>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</si>
  <si>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</si>
  <si>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</si>
  <si>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</si>
  <si>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</si>
  <si>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</si>
  <si>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</si>
  <si>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</si>
  <si>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</si>
  <si>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</si>
  <si>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</si>
  <si>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</si>
  <si>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</si>
  <si>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</si>
  <si>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</si>
  <si>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</si>
  <si>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</si>
  <si>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</si>
  <si>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</si>
  <si>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</si>
  <si>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</si>
  <si>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</si>
  <si>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</si>
  <si>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</si>
  <si>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</si>
  <si>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</si>
  <si>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</si>
  <si>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</si>
  <si>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</si>
  <si>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</si>
  <si>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</si>
  <si>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</si>
  <si>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</si>
  <si>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</si>
  <si>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</si>
  <si>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</si>
  <si>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</si>
  <si>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</si>
  <si>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</si>
  <si>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</si>
  <si>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</si>
  <si>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</si>
  <si>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</si>
  <si>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</si>
  <si>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</si>
  <si>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</si>
  <si>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</si>
  <si>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</si>
  <si>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</si>
  <si>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</si>
  <si>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</si>
  <si>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</si>
  <si>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</si>
  <si>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</si>
  <si>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</si>
  <si>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</si>
  <si>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</si>
  <si>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</si>
  <si>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</si>
  <si>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</si>
  <si>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</si>
  <si>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</si>
  <si>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</si>
  <si>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</si>
  <si>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</si>
  <si>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</si>
  <si>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</si>
  <si>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</si>
  <si>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</si>
  <si>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</si>
  <si>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</si>
  <si>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</si>
  <si>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</si>
  <si>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</si>
  <si>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</si>
  <si>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</si>
  <si>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</si>
  <si>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</si>
  <si>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</si>
  <si>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</si>
  <si>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</si>
  <si>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</si>
  <si>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</si>
  <si>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</si>
  <si>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</si>
  <si>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</si>
  <si>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</si>
  <si>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</si>
  <si>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</si>
  <si>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</si>
  <si>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</si>
  <si>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</si>
  <si>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</si>
  <si>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</si>
  <si>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</si>
  <si>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</si>
  <si>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</si>
  <si>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</si>
  <si>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</si>
  <si>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</si>
  <si>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</si>
  <si>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</si>
  <si>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</si>
  <si>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</si>
  <si>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</si>
  <si>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</si>
  <si>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</si>
  <si>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</si>
  <si>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</si>
  <si>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</si>
  <si>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</si>
  <si>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</si>
  <si>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</si>
  <si>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</si>
  <si>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</si>
  <si>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</si>
  <si>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</si>
  <si>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</si>
  <si>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</si>
  <si>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</si>
  <si>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</si>
  <si>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</si>
  <si>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</si>
  <si>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</si>
  <si>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</si>
  <si>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</si>
  <si>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</si>
  <si>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</si>
  <si>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</si>
  <si>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</si>
  <si>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</si>
  <si>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</si>
  <si>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</si>
  <si>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</si>
  <si>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</si>
  <si>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</si>
  <si>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</si>
  <si>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</si>
  <si>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</si>
  <si>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</si>
  <si>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</si>
  <si>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</si>
  <si>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</si>
  <si>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</si>
  <si>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</si>
  <si>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</si>
  <si>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</si>
  <si>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</si>
  <si>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</si>
  <si>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</si>
  <si>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</si>
  <si>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</si>
  <si>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</si>
  <si>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</si>
  <si>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</si>
  <si>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</si>
  <si>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</si>
  <si>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</si>
  <si>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</si>
  <si>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</si>
  <si>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</si>
  <si>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</si>
  <si>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</si>
  <si>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</si>
  <si>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</si>
  <si>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</si>
  <si>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</si>
  <si>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</si>
  <si>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</si>
  <si>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</si>
  <si>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</si>
  <si>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</si>
  <si>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</si>
  <si>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</si>
  <si>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</si>
  <si>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</si>
  <si>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</si>
  <si>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</si>
  <si>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</si>
  <si>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</si>
  <si>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</si>
  <si>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</si>
  <si>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</si>
  <si>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</si>
  <si>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</si>
  <si>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</si>
  <si>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</si>
  <si>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</si>
  <si>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</si>
  <si>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</si>
  <si>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</si>
  <si>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</si>
  <si>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</si>
  <si>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</si>
  <si>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</si>
  <si>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</si>
  <si>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</si>
  <si>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</si>
  <si>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</si>
  <si>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</si>
  <si>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</si>
  <si>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</si>
  <si>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</si>
  <si>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</si>
  <si>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</si>
  <si>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</si>
  <si>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</si>
  <si>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</si>
  <si>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</si>
  <si>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</si>
  <si>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</si>
  <si>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</si>
  <si>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</si>
  <si>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</si>
  <si>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</si>
  <si>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</si>
  <si>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</si>
  <si>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</si>
  <si>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</si>
  <si>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</si>
  <si>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</si>
  <si>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</si>
  <si>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</si>
  <si>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</si>
  <si>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</si>
  <si>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</si>
  <si>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</si>
  <si>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</si>
  <si>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</si>
  <si>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</si>
  <si>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</si>
  <si>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</si>
  <si>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</si>
  <si>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</si>
  <si>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</si>
  <si>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</si>
  <si>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</si>
  <si>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</si>
  <si>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</si>
  <si>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</si>
  <si>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</si>
  <si>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</si>
  <si>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</si>
  <si>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</si>
  <si>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</si>
  <si>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</si>
  <si>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</si>
  <si>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</si>
  <si>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</si>
  <si>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</si>
  <si>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</si>
  <si>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</si>
  <si>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</si>
  <si>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</si>
  <si>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</si>
  <si>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</si>
  <si>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</si>
  <si>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</si>
  <si>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</si>
  <si>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</si>
  <si>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</si>
  <si>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</si>
  <si>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</si>
  <si>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</si>
  <si>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</si>
  <si>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</si>
  <si>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</si>
  <si>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</si>
  <si>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</si>
  <si>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</si>
  <si>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</si>
  <si>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</si>
  <si>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</si>
  <si>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</si>
  <si>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</si>
  <si>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</si>
  <si>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</si>
  <si>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</si>
  <si>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</si>
  <si>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</si>
  <si>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</si>
  <si>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</si>
  <si>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</si>
  <si>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</si>
  <si>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</si>
  <si>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</si>
  <si>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</si>
  <si>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</si>
  <si>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</si>
  <si>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</si>
  <si>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</si>
  <si>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</si>
  <si>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</si>
  <si>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</si>
  <si>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</si>
  <si>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</si>
  <si>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</si>
  <si>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</si>
  <si>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</si>
  <si>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</si>
  <si>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</si>
  <si>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</si>
  <si>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</si>
  <si>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</si>
  <si>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</si>
  <si>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</si>
  <si>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</si>
  <si>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</si>
  <si>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</si>
  <si>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</si>
  <si>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</si>
  <si>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</si>
  <si>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</si>
  <si>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</si>
  <si>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</si>
  <si>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</si>
  <si>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</si>
  <si>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</si>
  <si>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</si>
  <si>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</si>
  <si>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</si>
  <si>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</si>
  <si>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</si>
  <si>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</si>
  <si>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</si>
  <si>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</si>
  <si>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</si>
  <si>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</si>
  <si>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</si>
  <si>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</si>
  <si>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</si>
  <si>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</si>
  <si>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</si>
  <si>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</si>
  <si>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</si>
  <si>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</si>
  <si>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</si>
  <si>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</si>
  <si>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</si>
  <si>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</si>
  <si>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</si>
  <si>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</si>
  <si>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</si>
  <si>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</si>
  <si>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</si>
  <si>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</si>
  <si>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</si>
  <si>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</si>
  <si>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</si>
  <si>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</si>
  <si>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</si>
  <si>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</si>
  <si>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</si>
  <si>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</si>
  <si>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</si>
  <si>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</si>
  <si>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</si>
  <si>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</si>
  <si>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</si>
  <si>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</si>
  <si>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</si>
  <si>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</si>
  <si>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</si>
  <si>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</si>
  <si>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</si>
  <si>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</si>
  <si>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</si>
  <si>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</si>
  <si>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</si>
  <si>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</si>
  <si>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</si>
  <si>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</si>
  <si>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</si>
  <si>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</si>
  <si>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</si>
  <si>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</si>
  <si>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</si>
  <si>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</si>
  <si>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</si>
  <si>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</si>
  <si>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</si>
  <si>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</si>
  <si>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</si>
  <si>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</si>
  <si>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</si>
  <si>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</si>
  <si>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</si>
  <si>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</si>
  <si>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</si>
  <si>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</si>
  <si>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</si>
  <si>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</si>
  <si>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</si>
  <si>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</si>
  <si>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</si>
  <si>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</si>
  <si>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</si>
  <si>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</si>
  <si>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</si>
  <si>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</si>
  <si>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</si>
  <si>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</si>
  <si>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</si>
  <si>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</si>
  <si>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</si>
  <si>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</si>
  <si>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</si>
  <si>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</si>
  <si>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</si>
  <si>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</si>
  <si>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</si>
  <si>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</si>
  <si>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</si>
  <si>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</si>
  <si>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</si>
  <si>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</si>
  <si>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</si>
  <si>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</si>
  <si>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</si>
  <si>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</si>
  <si>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</si>
  <si>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</si>
  <si>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</si>
  <si>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</si>
  <si>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</si>
  <si>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</si>
  <si>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</si>
  <si>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</si>
  <si>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</si>
  <si>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</si>
  <si>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</si>
  <si>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</si>
  <si>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</si>
  <si>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</si>
  <si>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</si>
  <si>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</si>
  <si>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</si>
  <si>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</si>
  <si>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</si>
  <si>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</si>
  <si>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</si>
  <si>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</si>
  <si>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</si>
  <si>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</si>
  <si>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</si>
  <si>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</si>
  <si>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</si>
  <si>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</si>
  <si>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</si>
  <si>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</si>
  <si>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</si>
  <si>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</si>
  <si>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</si>
  <si>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</si>
  <si>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</si>
  <si>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</si>
  <si>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</si>
  <si>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</si>
  <si>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</si>
  <si>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</si>
  <si>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</si>
  <si>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</si>
  <si>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</si>
  <si>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</si>
  <si>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</si>
  <si>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</si>
  <si>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</si>
  <si>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</si>
  <si>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</si>
  <si>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</si>
  <si>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</si>
  <si>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</si>
  <si>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</si>
  <si>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</si>
  <si>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</si>
  <si>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</si>
  <si>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</si>
  <si>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</si>
  <si>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</si>
  <si>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</si>
  <si>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</si>
  <si>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</si>
  <si>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</si>
  <si>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</si>
  <si>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</si>
  <si>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</si>
  <si>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</si>
  <si>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</si>
  <si>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</si>
  <si>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</si>
  <si>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</si>
  <si>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</si>
  <si>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</si>
  <si>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</si>
  <si>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</si>
  <si>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</si>
  <si>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</si>
  <si>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</si>
  <si>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</si>
  <si>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</si>
  <si>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</si>
  <si>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</si>
  <si>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</si>
  <si>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</si>
  <si>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</si>
  <si>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</si>
  <si>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</si>
  <si>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</si>
  <si>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</si>
  <si>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</si>
  <si>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</si>
  <si>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</si>
  <si>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</si>
  <si>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</si>
  <si>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</si>
  <si>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</si>
  <si>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</si>
  <si>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</si>
  <si>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</si>
  <si>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</si>
  <si>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</si>
  <si>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</si>
  <si>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</si>
  <si>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</si>
  <si>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</si>
  <si>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</si>
  <si>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</si>
  <si>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</si>
  <si>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</si>
  <si>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</si>
  <si>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</si>
  <si>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</si>
  <si>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</si>
  <si>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</si>
  <si>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</si>
  <si>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</si>
  <si>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</si>
  <si>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</si>
  <si>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</si>
  <si>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</si>
  <si>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</si>
  <si>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</si>
  <si>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</si>
  <si>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</si>
  <si>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</si>
  <si>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</si>
  <si>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</si>
  <si>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</si>
  <si>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</si>
  <si>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</si>
  <si>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</si>
  <si>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</si>
  <si>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</si>
  <si>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</si>
  <si>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</si>
  <si>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</si>
  <si>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</si>
  <si>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</si>
  <si>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</si>
  <si>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</si>
  <si>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</si>
  <si>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</si>
  <si>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</si>
  <si>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</si>
  <si>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</si>
  <si>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</si>
  <si>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</si>
  <si>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</si>
  <si>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</si>
  <si>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</si>
  <si>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</si>
  <si>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</si>
  <si>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</si>
  <si>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</si>
  <si>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</si>
  <si>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</si>
  <si>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</si>
  <si>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</si>
  <si>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</si>
  <si>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</si>
  <si>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</si>
  <si>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</si>
  <si>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</si>
  <si>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</si>
  <si>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</si>
  <si>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</si>
  <si>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</si>
  <si>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</si>
  <si>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</si>
  <si>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</si>
  <si>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</si>
  <si>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</si>
  <si>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</si>
  <si>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</si>
  <si>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</si>
  <si>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</si>
  <si>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</si>
  <si>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</si>
  <si>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</si>
  <si>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</si>
  <si>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</si>
  <si>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</si>
  <si>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</si>
  <si>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</si>
  <si>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</si>
  <si>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</si>
  <si>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</si>
  <si>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</si>
  <si>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</si>
  <si>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</si>
  <si>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</si>
  <si>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</si>
  <si>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</si>
  <si>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</si>
  <si>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</si>
  <si>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</si>
  <si>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</si>
  <si>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</si>
  <si>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</si>
  <si>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</si>
  <si>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</si>
  <si>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</si>
  <si>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</si>
  <si>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</si>
  <si>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</si>
  <si>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</si>
  <si>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</si>
  <si>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</si>
  <si>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</si>
  <si>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</si>
  <si>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</si>
  <si>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</si>
  <si>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</si>
  <si>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</si>
  <si>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</si>
  <si>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</si>
  <si>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</si>
  <si>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</si>
  <si>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</si>
  <si>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</si>
  <si>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</si>
  <si>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</si>
  <si>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</si>
  <si>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</si>
  <si>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</si>
  <si>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</si>
  <si>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</si>
  <si>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</si>
  <si>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</si>
  <si>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</si>
  <si>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</si>
  <si>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</si>
  <si>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</si>
  <si>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</si>
  <si>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</si>
  <si>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</si>
  <si>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</si>
  <si>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</si>
  <si>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</si>
  <si>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</si>
  <si>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</si>
  <si>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</si>
  <si>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</si>
  <si>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</si>
  <si>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</si>
  <si>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</si>
  <si>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</si>
  <si>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</si>
  <si>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</si>
  <si>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</si>
  <si>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</si>
  <si>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</si>
  <si>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</si>
  <si>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</si>
  <si>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</si>
  <si>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</si>
  <si>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</si>
  <si>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</si>
  <si>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</si>
  <si>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</si>
  <si>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</si>
  <si>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</si>
  <si>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</si>
  <si>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</si>
  <si>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</si>
  <si>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</si>
  <si>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</si>
  <si>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</si>
  <si>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</si>
  <si>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</si>
  <si>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</si>
  <si>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</si>
  <si>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</si>
  <si>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</si>
  <si>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</si>
  <si>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</si>
  <si>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</si>
  <si>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</si>
  <si>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</si>
  <si>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</si>
  <si>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</si>
  <si>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</si>
  <si>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</si>
  <si>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</si>
  <si>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</si>
  <si>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</si>
  <si>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</si>
  <si>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</si>
  <si>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</si>
  <si>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</si>
  <si>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</si>
  <si>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</si>
  <si>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</si>
  <si>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</si>
  <si>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</si>
  <si>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</si>
  <si>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</si>
  <si>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</si>
  <si>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</si>
  <si>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</si>
  <si>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</si>
  <si>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</si>
  <si>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</si>
  <si>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</si>
  <si>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</si>
  <si>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</si>
  <si>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</si>
  <si>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</si>
  <si>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</si>
  <si>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</si>
  <si>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</si>
  <si>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</si>
  <si>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</si>
  <si>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</si>
  <si>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</si>
  <si>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</si>
  <si>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</si>
  <si>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</si>
  <si>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</si>
  <si>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</si>
  <si>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</si>
  <si>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</si>
  <si>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</si>
  <si>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</si>
  <si>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</si>
  <si>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</si>
  <si>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</si>
  <si>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</si>
  <si>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</si>
  <si>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</si>
  <si>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</si>
  <si>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</si>
  <si>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</si>
  <si>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</si>
  <si>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</si>
  <si>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</si>
  <si>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</si>
  <si>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</si>
  <si>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</si>
  <si>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</si>
  <si>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</si>
  <si>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</si>
  <si>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</si>
  <si>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</si>
  <si>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</si>
  <si>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</si>
  <si>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</si>
  <si>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</si>
  <si>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</si>
  <si>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</si>
  <si>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</si>
  <si>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</si>
  <si>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</si>
  <si>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</si>
  <si>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</si>
  <si>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</si>
  <si>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</si>
  <si>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</si>
  <si>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</si>
  <si>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</si>
  <si>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</si>
  <si>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</si>
  <si>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</si>
  <si>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</si>
  <si>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</si>
  <si>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</si>
  <si>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</si>
  <si>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</si>
  <si>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</si>
  <si>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</si>
  <si>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</si>
  <si>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</si>
  <si>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</si>
  <si>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</si>
  <si>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</si>
  <si>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</si>
  <si>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</si>
  <si>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</si>
  <si>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</si>
  <si>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</si>
  <si>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</si>
  <si>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</si>
  <si>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</si>
  <si>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</si>
  <si>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</si>
  <si>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</si>
  <si>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</si>
  <si>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</si>
  <si>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</si>
  <si>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</si>
  <si>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</si>
  <si>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</si>
  <si>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</si>
  <si>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</si>
  <si>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</si>
  <si>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</si>
  <si>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</si>
  <si>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</si>
  <si>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</si>
  <si>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</si>
  <si>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</si>
  <si>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</si>
  <si>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</si>
  <si>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</si>
  <si>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</si>
  <si>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</si>
  <si>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</si>
  <si>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</si>
  <si>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</si>
  <si>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</si>
  <si>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</si>
  <si>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</si>
  <si>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</si>
  <si>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</si>
  <si>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</si>
  <si>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</si>
  <si>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</si>
  <si>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</si>
  <si>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</si>
  <si>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</si>
  <si>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</si>
  <si>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</si>
  <si>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</si>
  <si>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</si>
  <si>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</si>
  <si>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</si>
  <si>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</si>
  <si>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</si>
  <si>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</si>
  <si>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</si>
  <si>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</si>
  <si>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</si>
  <si>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</si>
  <si>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</si>
  <si>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</si>
  <si>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</si>
  <si>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</si>
  <si>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</si>
  <si>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</si>
  <si>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</si>
  <si>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</si>
  <si>
    <t>7C6A</t>
  </si>
  <si>
    <t>7C61</t>
  </si>
  <si>
    <t>6KO5</t>
  </si>
  <si>
    <t>6TPK</t>
  </si>
  <si>
    <t>6VCB</t>
  </si>
  <si>
    <t>6WHC</t>
  </si>
  <si>
    <t>6WPW</t>
  </si>
  <si>
    <t>6WI9</t>
  </si>
  <si>
    <t>6WZG</t>
  </si>
  <si>
    <t>6M1H</t>
  </si>
  <si>
    <t>6M1I</t>
  </si>
  <si>
    <t>6UO8</t>
  </si>
  <si>
    <t>6PT2</t>
  </si>
  <si>
    <t>6UO9</t>
  </si>
  <si>
    <t>6UOA</t>
  </si>
  <si>
    <t>6VJM</t>
  </si>
  <si>
    <t>7C7Q</t>
  </si>
  <si>
    <t>7C7S</t>
  </si>
  <si>
    <t>6W2X</t>
  </si>
  <si>
    <t>6W2Y</t>
  </si>
  <si>
    <t>6WIV</t>
  </si>
  <si>
    <t>6PT3</t>
  </si>
  <si>
    <t>7C2E</t>
  </si>
  <si>
    <t>6PB0</t>
  </si>
  <si>
    <t>6P9X</t>
  </si>
  <si>
    <t>7BZ2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</si>
</sst>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7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0" fillId="5" borderId="5" xfId="0" applyFill="1" applyBorder="1"/>
    <xf numFmtId="0" fontId="16" fillId="0" borderId="0" xfId="0" applyFont="1" applyFill="1"/>
    <xf numFmtId="0" fontId="0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89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465952"/>
        <c:axId val="-2035568848"/>
      </c:lineChart>
      <c:catAx>
        <c:axId val="-203546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68848"/>
        <c:crosses val="autoZero"/>
        <c:auto val="1"/>
        <c:lblAlgn val="ctr"/>
        <c:lblOffset val="100"/>
        <c:noMultiLvlLbl val="0"/>
      </c:catAx>
      <c:valAx>
        <c:axId val="-20355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46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538768"/>
        <c:axId val="-2035536208"/>
      </c:lineChart>
      <c:catAx>
        <c:axId val="-20355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6208"/>
        <c:crosses val="autoZero"/>
        <c:auto val="1"/>
        <c:lblAlgn val="ctr"/>
        <c:lblOffset val="100"/>
        <c:noMultiLvlLbl val="0"/>
      </c:catAx>
      <c:valAx>
        <c:axId val="-20355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4781376"/>
        <c:axId val="-2034778384"/>
      </c:lineChart>
      <c:catAx>
        <c:axId val="-20347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78384"/>
        <c:crosses val="autoZero"/>
        <c:auto val="1"/>
        <c:lblAlgn val="ctr"/>
        <c:lblOffset val="100"/>
        <c:noMultiLvlLbl val="0"/>
      </c:catAx>
      <c:valAx>
        <c:axId val="-20347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5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7" connectionId="9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6" connectionId="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2" connectionId="12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10" connectionId="1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8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3" connectionId="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4" connectionId="7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xtal_templates_13" connectionId="1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1" Type="http://schemas.openxmlformats.org/officeDocument/2006/relationships/queryTable" Target="../queryTables/queryTable13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91"/>
  <sheetViews>
    <sheetView tabSelected="1" zoomScale="110" zoomScaleNormal="110" zoomScalePageLayoutView="110" workbookViewId="0">
      <pane xSplit="3" ySplit="1" topLeftCell="P138" activePane="bottomRight" state="frozenSplit"/>
      <selection pane="topRight" activeCell="D1" sqref="D1"/>
      <selection pane="bottomLeft" activeCell="A2" sqref="A2"/>
      <selection pane="bottomRight" activeCell="BF159" sqref="BF159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1072</v>
      </c>
      <c r="B1" s="61" t="s">
        <v>31</v>
      </c>
      <c r="C1" s="61" t="s">
        <v>30</v>
      </c>
      <c r="E1" s="61" t="s">
        <v>1056</v>
      </c>
      <c r="G1" s="61" t="s">
        <v>1057</v>
      </c>
      <c r="I1" s="62" t="s">
        <v>1073</v>
      </c>
      <c r="K1" s="62" t="s">
        <v>1074</v>
      </c>
      <c r="M1" s="61" t="s">
        <v>1058</v>
      </c>
      <c r="O1" s="61" t="s">
        <v>1059</v>
      </c>
      <c r="Q1" s="61" t="s">
        <v>1075</v>
      </c>
      <c r="S1" s="61" t="s">
        <v>1076</v>
      </c>
      <c r="U1" s="61" t="s">
        <v>1060</v>
      </c>
      <c r="W1" s="61" t="s">
        <v>1061</v>
      </c>
      <c r="Y1" s="61" t="s">
        <v>1088</v>
      </c>
      <c r="AA1" s="61" t="s">
        <v>1089</v>
      </c>
      <c r="AC1" s="104" t="s">
        <v>1062</v>
      </c>
      <c r="AE1" s="61" t="s">
        <v>1063</v>
      </c>
      <c r="AG1" s="61" t="s">
        <v>1091</v>
      </c>
      <c r="AI1" s="61" t="s">
        <v>1092</v>
      </c>
      <c r="AK1" s="61" t="s">
        <v>1064</v>
      </c>
      <c r="AM1" s="61" t="s">
        <v>1065</v>
      </c>
      <c r="AO1" s="61" t="s">
        <v>1066</v>
      </c>
      <c r="AQ1" s="61" t="s">
        <v>1067</v>
      </c>
      <c r="AS1" s="61" t="s">
        <v>1068</v>
      </c>
      <c r="AU1" s="61" t="s">
        <v>1069</v>
      </c>
      <c r="AW1" s="61" t="s">
        <v>1070</v>
      </c>
      <c r="AY1" s="61" t="s">
        <v>1071</v>
      </c>
      <c r="AZ1" s="63" t="s">
        <v>99</v>
      </c>
      <c r="BA1" s="64" t="s">
        <v>1376</v>
      </c>
      <c r="BB1" s="64" t="s">
        <v>1198</v>
      </c>
      <c r="BC1" s="61" t="s">
        <v>1163</v>
      </c>
      <c r="BD1" s="64" t="s">
        <v>1095</v>
      </c>
      <c r="BE1" s="61" t="s">
        <v>1369</v>
      </c>
      <c r="BF1" s="117" t="s">
        <v>1422</v>
      </c>
      <c r="BG1" s="76" t="s">
        <v>1377</v>
      </c>
      <c r="BH1" s="76" t="s">
        <v>1378</v>
      </c>
      <c r="BI1" s="61" t="s">
        <v>1103</v>
      </c>
      <c r="BJ1" s="65" t="s">
        <v>1056</v>
      </c>
      <c r="BK1" s="66" t="s">
        <v>1073</v>
      </c>
      <c r="BL1" s="67" t="s">
        <v>1058</v>
      </c>
      <c r="BM1" s="67" t="s">
        <v>1075</v>
      </c>
      <c r="BN1" s="67" t="s">
        <v>1060</v>
      </c>
      <c r="BO1" s="67" t="s">
        <v>1088</v>
      </c>
      <c r="BP1" s="67" t="s">
        <v>1062</v>
      </c>
      <c r="BQ1" s="67" t="s">
        <v>1091</v>
      </c>
      <c r="BR1" s="67" t="s">
        <v>1064</v>
      </c>
      <c r="BS1" s="67" t="s">
        <v>1066</v>
      </c>
      <c r="BT1" s="67" t="s">
        <v>1068</v>
      </c>
      <c r="BU1" s="68" t="s">
        <v>1070</v>
      </c>
      <c r="BV1" s="65" t="s">
        <v>1056</v>
      </c>
      <c r="BW1" s="69" t="s">
        <v>1073</v>
      </c>
      <c r="BX1" s="68" t="s">
        <v>1058</v>
      </c>
      <c r="BY1" s="68" t="s">
        <v>1075</v>
      </c>
      <c r="BZ1" s="68" t="s">
        <v>1060</v>
      </c>
      <c r="CA1" s="68" t="s">
        <v>1088</v>
      </c>
      <c r="CB1" s="68" t="s">
        <v>1062</v>
      </c>
      <c r="CC1" s="68" t="s">
        <v>1091</v>
      </c>
      <c r="CD1" s="68" t="s">
        <v>1064</v>
      </c>
      <c r="CE1" s="68" t="s">
        <v>1066</v>
      </c>
      <c r="CF1" s="68" t="s">
        <v>1068</v>
      </c>
      <c r="CG1" s="68" t="s">
        <v>1070</v>
      </c>
      <c r="CH1" s="65" t="s">
        <v>1057</v>
      </c>
      <c r="CI1" s="69" t="s">
        <v>1074</v>
      </c>
      <c r="CJ1" s="68" t="s">
        <v>1059</v>
      </c>
      <c r="CK1" s="68" t="s">
        <v>1076</v>
      </c>
      <c r="CL1" s="68" t="s">
        <v>1061</v>
      </c>
      <c r="CM1" s="68" t="s">
        <v>1089</v>
      </c>
      <c r="CN1" s="68" t="s">
        <v>1063</v>
      </c>
      <c r="CO1" s="68" t="s">
        <v>1092</v>
      </c>
      <c r="CP1" s="68" t="s">
        <v>1065</v>
      </c>
      <c r="CQ1" s="68" t="s">
        <v>1067</v>
      </c>
      <c r="CR1" s="68" t="s">
        <v>1069</v>
      </c>
      <c r="CS1" s="68" t="s">
        <v>1071</v>
      </c>
      <c r="CT1" s="61" t="s">
        <v>1284</v>
      </c>
    </row>
    <row r="2" spans="1:1029" x14ac:dyDescent="0.2">
      <c r="A2" s="3" t="str">
        <f t="shared" ref="A2:A80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80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4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1368</v>
      </c>
      <c r="BH2" s="49" t="s">
        <v>1373</v>
      </c>
      <c r="BI2" s="1"/>
      <c r="BJ2" s="70" t="s">
        <v>1283</v>
      </c>
      <c r="BK2" s="57" t="s">
        <v>1283</v>
      </c>
      <c r="BL2" s="57" t="s">
        <v>1283</v>
      </c>
      <c r="BM2" s="57" t="s">
        <v>1283</v>
      </c>
      <c r="BN2" s="57" t="s">
        <v>1283</v>
      </c>
      <c r="BO2" s="57" t="s">
        <v>1283</v>
      </c>
      <c r="BP2" s="57" t="s">
        <v>1283</v>
      </c>
      <c r="BQ2" s="57" t="s">
        <v>1283</v>
      </c>
      <c r="BR2" s="57" t="s">
        <v>1283</v>
      </c>
      <c r="BS2" s="57" t="s">
        <v>1283</v>
      </c>
      <c r="BT2" s="57" t="s">
        <v>1283</v>
      </c>
      <c r="BU2" s="57" t="s">
        <v>1283</v>
      </c>
      <c r="BV2" s="70">
        <f t="shared" ref="BV2:BV38" si="3">E2</f>
        <v>45</v>
      </c>
      <c r="BW2" s="71">
        <f t="shared" ref="BW2:BW38" si="4">I2</f>
        <v>78</v>
      </c>
      <c r="BX2" s="72">
        <f t="shared" ref="BX2:BX38" si="5">M2</f>
        <v>82</v>
      </c>
      <c r="BY2" s="71">
        <f t="shared" ref="BY2:BY38" si="6">Q2</f>
        <v>114</v>
      </c>
      <c r="BZ2" s="72">
        <f t="shared" ref="BZ2:BZ38" si="7">U2</f>
        <v>118</v>
      </c>
      <c r="CA2" s="71">
        <f t="shared" ref="CA2:CA38" si="8">Y2</f>
        <v>154</v>
      </c>
      <c r="CB2" s="72">
        <f t="shared" ref="CB2:CB38" si="9">AC2</f>
        <v>162</v>
      </c>
      <c r="CC2" s="71">
        <f t="shared" ref="CC2:CC38" si="10">AG2</f>
        <v>199</v>
      </c>
      <c r="CD2" s="72">
        <f t="shared" ref="CD2:CD38" si="11">AK2</f>
        <v>205</v>
      </c>
      <c r="CE2" s="71">
        <f t="shared" ref="CE2:CE38" si="12">AO2</f>
        <v>303</v>
      </c>
      <c r="CF2" s="72">
        <f t="shared" ref="CF2:CF38" si="13">AS2</f>
        <v>347</v>
      </c>
      <c r="CG2" s="71">
        <f t="shared" ref="CG2:CG38" si="14">AW2</f>
        <v>373</v>
      </c>
      <c r="CH2" s="70">
        <f t="shared" ref="CH2:CH38" si="15">G2</f>
        <v>77</v>
      </c>
      <c r="CI2" s="71">
        <f t="shared" ref="CI2:CI38" si="16">K2</f>
        <v>81</v>
      </c>
      <c r="CJ2" s="72">
        <f t="shared" ref="CJ2:CJ38" si="17">O2</f>
        <v>113</v>
      </c>
      <c r="CK2" s="72">
        <f t="shared" ref="CK2:CK38" si="18">S2</f>
        <v>117</v>
      </c>
      <c r="CL2" s="72">
        <f t="shared" ref="CL2:CL38" si="19">W2</f>
        <v>153</v>
      </c>
      <c r="CM2" s="72">
        <f t="shared" ref="CM2:CM38" si="20">AA2</f>
        <v>161</v>
      </c>
      <c r="CN2" s="72">
        <f t="shared" ref="CN2:CN38" si="21">AE2</f>
        <v>187</v>
      </c>
      <c r="CO2" s="72">
        <f t="shared" ref="CO2:CO38" si="22">AI2</f>
        <v>201</v>
      </c>
      <c r="CP2" s="72">
        <f t="shared" ref="CP2:CP38" si="23">AM2</f>
        <v>244</v>
      </c>
      <c r="CQ2" s="72">
        <f t="shared" ref="CQ2:CQ38" si="24">AQ2</f>
        <v>339</v>
      </c>
      <c r="CR2" s="72">
        <f t="shared" ref="CR2:CR38" si="25">AU2</f>
        <v>372</v>
      </c>
      <c r="CS2" s="72">
        <f t="shared" ref="CS2:CS38" si="26">AY2</f>
        <v>384</v>
      </c>
      <c r="CT2" s="23">
        <f t="shared" ref="CT2:CT3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1038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1425</v>
      </c>
      <c r="BE3" s="3" t="s">
        <v>1424</v>
      </c>
      <c r="BF3" s="118">
        <v>2.8</v>
      </c>
      <c r="BG3" s="49" t="s">
        <v>1373</v>
      </c>
      <c r="BH3" s="49" t="s">
        <v>1373</v>
      </c>
      <c r="BI3" s="1"/>
      <c r="BJ3" s="70" t="s">
        <v>1283</v>
      </c>
      <c r="BK3" s="57" t="s">
        <v>1283</v>
      </c>
      <c r="BL3" s="57" t="s">
        <v>1283</v>
      </c>
      <c r="BM3" s="57" t="s">
        <v>1283</v>
      </c>
      <c r="BN3" s="57" t="s">
        <v>1283</v>
      </c>
      <c r="BO3" s="57" t="s">
        <v>1283</v>
      </c>
      <c r="BP3" s="57" t="s">
        <v>1283</v>
      </c>
      <c r="BQ3" s="57" t="s">
        <v>1283</v>
      </c>
      <c r="BR3" s="57" t="s">
        <v>1283</v>
      </c>
      <c r="BS3" s="57" t="s">
        <v>1283</v>
      </c>
      <c r="BT3" s="57" t="s">
        <v>1283</v>
      </c>
      <c r="BU3" s="57" t="s">
        <v>1283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1424</v>
      </c>
      <c r="BF4" s="118">
        <v>2.7</v>
      </c>
      <c r="BG4" s="49" t="s">
        <v>1373</v>
      </c>
      <c r="BH4" s="49" t="s">
        <v>1373</v>
      </c>
      <c r="BI4" s="1"/>
      <c r="BJ4" s="70" t="s">
        <v>1283</v>
      </c>
      <c r="BK4" s="57" t="s">
        <v>1283</v>
      </c>
      <c r="BL4" s="57" t="s">
        <v>1283</v>
      </c>
      <c r="BM4" s="57" t="s">
        <v>1283</v>
      </c>
      <c r="BN4" s="57" t="s">
        <v>1283</v>
      </c>
      <c r="BO4" s="57" t="s">
        <v>1283</v>
      </c>
      <c r="BP4" s="57" t="s">
        <v>1283</v>
      </c>
      <c r="BQ4" s="57" t="s">
        <v>1283</v>
      </c>
      <c r="BR4" s="57" t="s">
        <v>1283</v>
      </c>
      <c r="BS4" s="57" t="s">
        <v>1283</v>
      </c>
      <c r="BT4" s="57" t="s">
        <v>1283</v>
      </c>
      <c r="BU4" s="57" t="s">
        <v>1283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1463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1424</v>
      </c>
      <c r="BF5" s="118">
        <v>3.7</v>
      </c>
      <c r="BG5" s="49" t="s">
        <v>1373</v>
      </c>
      <c r="BH5" s="49" t="s">
        <v>1373</v>
      </c>
      <c r="BI5" s="1"/>
      <c r="BJ5" s="70" t="s">
        <v>1283</v>
      </c>
      <c r="BK5" s="57" t="s">
        <v>1283</v>
      </c>
      <c r="BL5" s="57" t="s">
        <v>1283</v>
      </c>
      <c r="BM5" s="57" t="s">
        <v>1283</v>
      </c>
      <c r="BN5" s="57" t="s">
        <v>1283</v>
      </c>
      <c r="BO5" s="57" t="s">
        <v>1283</v>
      </c>
      <c r="BP5" s="57" t="s">
        <v>1283</v>
      </c>
      <c r="BQ5" s="57" t="s">
        <v>1283</v>
      </c>
      <c r="BR5" s="57" t="s">
        <v>1283</v>
      </c>
      <c r="BS5" s="57" t="s">
        <v>1283</v>
      </c>
      <c r="BT5" s="57" t="s">
        <v>1283</v>
      </c>
      <c r="BU5" s="57" t="s">
        <v>1283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1500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1371</v>
      </c>
      <c r="BE6" s="3" t="s">
        <v>1287</v>
      </c>
      <c r="BF6" s="118">
        <v>3.78</v>
      </c>
      <c r="BG6" s="49" t="s">
        <v>1014</v>
      </c>
      <c r="BH6" s="49" t="s">
        <v>1014</v>
      </c>
      <c r="BI6" s="1"/>
      <c r="BJ6" s="70" t="s">
        <v>1283</v>
      </c>
      <c r="BK6" s="57" t="s">
        <v>1283</v>
      </c>
      <c r="BL6" s="57" t="s">
        <v>1283</v>
      </c>
      <c r="BM6" s="57" t="s">
        <v>1283</v>
      </c>
      <c r="BN6" s="57" t="s">
        <v>1283</v>
      </c>
      <c r="BO6" s="57" t="s">
        <v>1283</v>
      </c>
      <c r="BP6" s="57" t="s">
        <v>1283</v>
      </c>
      <c r="BQ6" s="57" t="s">
        <v>1283</v>
      </c>
      <c r="BR6" s="57" t="s">
        <v>1283</v>
      </c>
      <c r="BS6" s="57" t="s">
        <v>1283</v>
      </c>
      <c r="BT6" s="57" t="s">
        <v>1283</v>
      </c>
      <c r="BU6" s="57" t="s">
        <v>1283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>CONCATENATE(B7,"_",C7)</f>
        <v>5ht1b_human_7C61</v>
      </c>
      <c r="B7" s="9" t="s">
        <v>34</v>
      </c>
      <c r="C7" s="9" t="s">
        <v>1697</v>
      </c>
      <c r="D7" s="9" t="str">
        <f>IFERROR(MID(VLOOKUP($B7,Seqs!$A:$B,2,0),E7,1),"")</f>
        <v>S</v>
      </c>
      <c r="E7" s="9">
        <v>45</v>
      </c>
      <c r="F7" s="9" t="str">
        <f>IFERROR(MID(VLOOKUP($B7,Seqs!$A:$B,2,0),G7,1),"")</f>
        <v>T</v>
      </c>
      <c r="G7" s="9">
        <v>77</v>
      </c>
      <c r="H7" s="9" t="str">
        <f>IFERROR(MID(VLOOKUP($B7,Seqs!$A:$B,2,0),I7,1),"")</f>
        <v/>
      </c>
      <c r="I7" s="109" t="s">
        <v>23</v>
      </c>
      <c r="J7" s="9" t="str">
        <f>IFERROR(MID(VLOOKUP($B7,Seqs!$A:$B,2,0),K7,1),"")</f>
        <v/>
      </c>
      <c r="K7" s="109" t="s">
        <v>23</v>
      </c>
      <c r="L7" s="9" t="str">
        <f>IFERROR(MID(VLOOKUP($B7,Seqs!$A:$B,2,0),M7,1),"")</f>
        <v>N</v>
      </c>
      <c r="M7" s="9">
        <v>85</v>
      </c>
      <c r="N7" s="9" t="str">
        <f>IFERROR(MID(VLOOKUP($B7,Seqs!$A:$B,2,0),O7,1),"")</f>
        <v>V</v>
      </c>
      <c r="O7" s="9">
        <v>111</v>
      </c>
      <c r="P7" s="9" t="str">
        <f>IFERROR(MID(VLOOKUP($B7,Seqs!$A:$B,2,0),Q7,1),"")</f>
        <v>R</v>
      </c>
      <c r="Q7" s="9">
        <v>114</v>
      </c>
      <c r="R7" s="9" t="str">
        <f>IFERROR(MID(VLOOKUP($B7,Seqs!$A:$B,2,0),S7,1),"")</f>
        <v>L</v>
      </c>
      <c r="S7" s="9">
        <v>117</v>
      </c>
      <c r="T7" s="9" t="str">
        <f>IFERROR(MID(VLOOKUP($B7,Seqs!$A:$B,2,0),U7,1),"")</f>
        <v>G</v>
      </c>
      <c r="U7" s="9">
        <v>118</v>
      </c>
      <c r="V7" s="9" t="str">
        <f>IFERROR(MID(VLOOKUP($B7,Seqs!$A:$B,2,0),W7,1),"")</f>
        <v>D</v>
      </c>
      <c r="W7" s="9">
        <v>153</v>
      </c>
      <c r="X7" s="9" t="str">
        <f>IFERROR(MID(VLOOKUP($B7,Seqs!$A:$B,2,0),Y7,1),"")</f>
        <v>A</v>
      </c>
      <c r="Y7" s="9">
        <v>154</v>
      </c>
      <c r="Z7" s="9" t="str">
        <f>IFERROR(MID(VLOOKUP($B7,Seqs!$A:$B,2,0),AA7,1),"")</f>
        <v>R</v>
      </c>
      <c r="AA7" s="9">
        <v>161</v>
      </c>
      <c r="AB7" s="9" t="str">
        <f>IFERROR(MID(VLOOKUP($B7,Seqs!$A:$B,2,0),AC7,1),"")</f>
        <v>P</v>
      </c>
      <c r="AC7" s="9">
        <v>163</v>
      </c>
      <c r="AD7" s="9" t="str">
        <f>IFERROR(MID(VLOOKUP($B7,Seqs!$A:$B,2,0),AE7,1),"")</f>
        <v>W</v>
      </c>
      <c r="AE7" s="9">
        <v>187</v>
      </c>
      <c r="AF7" s="9" t="str">
        <f>IFERROR(MID(VLOOKUP($B7,Seqs!$A:$B,2,0),AG7,1),"")</f>
        <v>C</v>
      </c>
      <c r="AG7" s="9">
        <v>199</v>
      </c>
      <c r="AH7" s="9" t="str">
        <f>IFERROR(MID(VLOOKUP($B7,Seqs!$A:$B,2,0),AI7,1),"")</f>
        <v>V</v>
      </c>
      <c r="AI7" s="9">
        <v>201</v>
      </c>
      <c r="AJ7" s="9" t="str">
        <f>IFERROR(MID(VLOOKUP($B7,Seqs!$A:$B,2,0),AK7,1),"")</f>
        <v>I</v>
      </c>
      <c r="AK7" s="9">
        <v>206</v>
      </c>
      <c r="AL7" s="9" t="str">
        <f>IFERROR(MID(VLOOKUP($B7,Seqs!$A:$B,2,0),AM7,1),"")</f>
        <v>R</v>
      </c>
      <c r="AM7" s="9">
        <v>238</v>
      </c>
      <c r="AN7" s="9" t="str">
        <f>IFERROR(MID(VLOOKUP($B7,Seqs!$A:$B,2,0),AO7,1),"")</f>
        <v>F</v>
      </c>
      <c r="AO7" s="9">
        <v>354</v>
      </c>
      <c r="AP7" s="9" t="str">
        <f>IFERROR(MID(VLOOKUP($B7,Seqs!$A:$B,2,0),AQ7,1),"")</f>
        <v>F</v>
      </c>
      <c r="AQ7" s="9">
        <v>376</v>
      </c>
      <c r="AR7" s="9" t="str">
        <f>IFERROR(MID(VLOOKUP($B7,Seqs!$A:$B,2,0),AS7,1),"")</f>
        <v>K</v>
      </c>
      <c r="AS7" s="9">
        <v>387</v>
      </c>
      <c r="AT7" s="9" t="str">
        <f>IFERROR(MID(VLOOKUP($B7,Seqs!$A:$B,2,0),AU7,1),"")</f>
        <v/>
      </c>
      <c r="AU7" s="9">
        <v>412</v>
      </c>
      <c r="AV7" s="9" t="str">
        <f>IFERROR(MID(VLOOKUP($B7,Seqs!$A:$B,2,0),AW7,1),"")</f>
        <v/>
      </c>
      <c r="AW7" s="9">
        <v>414</v>
      </c>
      <c r="AX7" s="9" t="str">
        <f>IFERROR(MID(VLOOKUP($B7,Seqs!$A:$B,2,0),AY7,1),"")</f>
        <v/>
      </c>
      <c r="AY7" s="9">
        <v>421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>_xlfn.AGGREGATE(9,6,CH7:CS7)-_xlfn.AGGREGATE(9,6,BV7:CG7)+12</f>
        <v>227</v>
      </c>
      <c r="BD7" s="11" t="s">
        <v>23</v>
      </c>
      <c r="BE7" s="9" t="s">
        <v>1424</v>
      </c>
      <c r="BF7" s="119">
        <v>3</v>
      </c>
      <c r="BG7" s="51" t="s">
        <v>1</v>
      </c>
      <c r="BH7" s="51" t="s">
        <v>1</v>
      </c>
      <c r="BJ7" s="111" t="s">
        <v>1283</v>
      </c>
      <c r="BK7" s="112" t="s">
        <v>1283</v>
      </c>
      <c r="BL7" s="112" t="s">
        <v>1283</v>
      </c>
      <c r="BM7" s="112" t="s">
        <v>1283</v>
      </c>
      <c r="BN7" s="112" t="s">
        <v>1283</v>
      </c>
      <c r="BO7" s="112" t="s">
        <v>1283</v>
      </c>
      <c r="BP7" s="112" t="s">
        <v>1283</v>
      </c>
      <c r="BQ7" s="112" t="s">
        <v>1283</v>
      </c>
      <c r="BR7" s="112" t="s">
        <v>1283</v>
      </c>
      <c r="BS7" s="112" t="s">
        <v>1283</v>
      </c>
      <c r="BT7" s="112" t="s">
        <v>1283</v>
      </c>
      <c r="BU7" s="112" t="s">
        <v>1283</v>
      </c>
      <c r="BV7" s="111">
        <f>E7</f>
        <v>45</v>
      </c>
      <c r="BW7" s="113" t="str">
        <f>I7</f>
        <v>-</v>
      </c>
      <c r="BX7" s="114">
        <f>M7</f>
        <v>85</v>
      </c>
      <c r="BY7" s="113">
        <f>Q7</f>
        <v>114</v>
      </c>
      <c r="BZ7" s="114">
        <f>U7</f>
        <v>118</v>
      </c>
      <c r="CA7" s="113">
        <f>Y7</f>
        <v>154</v>
      </c>
      <c r="CB7" s="114">
        <f>AC7</f>
        <v>163</v>
      </c>
      <c r="CC7" s="113">
        <f>AG7</f>
        <v>199</v>
      </c>
      <c r="CD7" s="114">
        <f>AK7</f>
        <v>206</v>
      </c>
      <c r="CE7" s="113">
        <f>AO7</f>
        <v>354</v>
      </c>
      <c r="CF7" s="114">
        <f>AS7</f>
        <v>387</v>
      </c>
      <c r="CG7" s="113">
        <f>AW7</f>
        <v>414</v>
      </c>
      <c r="CH7" s="111">
        <f>G7</f>
        <v>77</v>
      </c>
      <c r="CI7" s="113" t="str">
        <f>K7</f>
        <v>-</v>
      </c>
      <c r="CJ7" s="114">
        <f>O7</f>
        <v>111</v>
      </c>
      <c r="CK7" s="114">
        <f>S7</f>
        <v>117</v>
      </c>
      <c r="CL7" s="114">
        <f>W7</f>
        <v>153</v>
      </c>
      <c r="CM7" s="114">
        <f>AA7</f>
        <v>161</v>
      </c>
      <c r="CN7" s="114">
        <f>AE7</f>
        <v>187</v>
      </c>
      <c r="CO7" s="114">
        <f>AI7</f>
        <v>201</v>
      </c>
      <c r="CP7" s="114">
        <f>AM7</f>
        <v>238</v>
      </c>
      <c r="CQ7" s="114">
        <f>AQ7</f>
        <v>376</v>
      </c>
      <c r="CR7" s="114">
        <f>AU7</f>
        <v>412</v>
      </c>
      <c r="CS7" s="114">
        <f>AY7</f>
        <v>421</v>
      </c>
      <c r="CT7" s="109" t="e">
        <f>M7-K7</f>
        <v>#VALUE!</v>
      </c>
    </row>
    <row r="8" spans="1:1029" x14ac:dyDescent="0.2">
      <c r="A8" s="3" t="str">
        <f t="shared" ref="A8:A10" si="28">CONCATENATE(B8,"_",C8)</f>
        <v>5ht2a_human__wt</v>
      </c>
      <c r="B8" s="3" t="s">
        <v>132</v>
      </c>
      <c r="C8" s="3" t="s">
        <v>100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>P</v>
      </c>
      <c r="Y8" s="3">
        <v>180</v>
      </c>
      <c r="Z8" s="3" t="str">
        <f>IFERROR(MID(VLOOKUP($B8,Seqs!$A:$B,2,0),AA8,1),"")</f>
        <v>N</v>
      </c>
      <c r="AA8" s="3">
        <v>187</v>
      </c>
      <c r="AB8" s="3" t="str">
        <f>IFERROR(MID(VLOOKUP($B8,Seqs!$A:$B,2,0),AC8,1),"")</f>
        <v>S</v>
      </c>
      <c r="AC8" s="3">
        <v>188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L</v>
      </c>
      <c r="AM8" s="3">
        <v>272</v>
      </c>
      <c r="AN8" s="3" t="str">
        <f>IFERROR(MID(VLOOKUP($B8,Seqs!$A:$B,2,0),AO8,1),"")</f>
        <v>M</v>
      </c>
      <c r="AO8" s="3">
        <v>312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:BB10" si="29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:BC10" si="30">_xlfn.AGGREGATE(9,6,CH8:CS8)-_xlfn.AGGREGATE(9,6,BV8:CG8)+12</f>
        <v>275</v>
      </c>
      <c r="BD8" s="4" t="s">
        <v>23</v>
      </c>
      <c r="BE8" s="3" t="s">
        <v>23</v>
      </c>
      <c r="BF8" s="118" t="s">
        <v>23</v>
      </c>
      <c r="BG8" s="49" t="s">
        <v>23</v>
      </c>
      <c r="BH8" s="49" t="s">
        <v>23</v>
      </c>
      <c r="BI8" s="1"/>
      <c r="BJ8" s="70" t="s">
        <v>1283</v>
      </c>
      <c r="BK8" s="57" t="s">
        <v>1283</v>
      </c>
      <c r="BL8" s="57" t="s">
        <v>1283</v>
      </c>
      <c r="BM8" s="57" t="s">
        <v>1283</v>
      </c>
      <c r="BN8" s="57" t="s">
        <v>1283</v>
      </c>
      <c r="BO8" s="57" t="s">
        <v>1283</v>
      </c>
      <c r="BP8" s="57" t="s">
        <v>1283</v>
      </c>
      <c r="BQ8" s="57" t="s">
        <v>1283</v>
      </c>
      <c r="BR8" s="57" t="s">
        <v>1283</v>
      </c>
      <c r="BS8" s="57" t="s">
        <v>1283</v>
      </c>
      <c r="BT8" s="57" t="s">
        <v>1283</v>
      </c>
      <c r="BU8" s="57" t="s">
        <v>1283</v>
      </c>
      <c r="BV8" s="70">
        <f t="shared" ref="BV8:BV10" si="31">E8</f>
        <v>69</v>
      </c>
      <c r="BW8" s="71">
        <f t="shared" ref="BW8:BW10" si="32">I8</f>
        <v>103</v>
      </c>
      <c r="BX8" s="72">
        <f t="shared" ref="BX8:BX10" si="33">M8</f>
        <v>107</v>
      </c>
      <c r="BY8" s="71">
        <f t="shared" ref="BY8:BY10" si="34">Q8</f>
        <v>140</v>
      </c>
      <c r="BZ8" s="72">
        <f t="shared" ref="BZ8:BZ10" si="35">U8</f>
        <v>144</v>
      </c>
      <c r="CA8" s="71">
        <f t="shared" ref="CA8:CA10" si="36">Y8</f>
        <v>180</v>
      </c>
      <c r="CB8" s="72">
        <f t="shared" ref="CB8:CB10" si="37">AC8</f>
        <v>188</v>
      </c>
      <c r="CC8" s="71">
        <f t="shared" ref="CC8:CC10" si="38">AG8</f>
        <v>227</v>
      </c>
      <c r="CD8" s="72">
        <f t="shared" ref="CD8:CD10" si="39">AK8</f>
        <v>231</v>
      </c>
      <c r="CE8" s="71">
        <f t="shared" ref="CE8:CE10" si="40">AO8</f>
        <v>312</v>
      </c>
      <c r="CF8" s="72">
        <f t="shared" ref="CF8:CF10" si="41">AS8</f>
        <v>354</v>
      </c>
      <c r="CG8" s="71">
        <f t="shared" ref="CG8:CG10" si="42">AW8</f>
        <v>384</v>
      </c>
      <c r="CH8" s="70">
        <f t="shared" ref="CH8:CH10" si="43">G8</f>
        <v>102</v>
      </c>
      <c r="CI8" s="71">
        <f t="shared" ref="CI8:CI10" si="44">K8</f>
        <v>106</v>
      </c>
      <c r="CJ8" s="72">
        <f t="shared" ref="CJ8:CJ10" si="45">O8</f>
        <v>138</v>
      </c>
      <c r="CK8" s="72">
        <f t="shared" ref="CK8:CK10" si="46">S8</f>
        <v>143</v>
      </c>
      <c r="CL8" s="72">
        <f t="shared" ref="CL8:CL10" si="47">W8</f>
        <v>179</v>
      </c>
      <c r="CM8" s="72">
        <f t="shared" ref="CM8:CM10" si="48">AA8</f>
        <v>187</v>
      </c>
      <c r="CN8" s="72">
        <f t="shared" ref="CN8:CN10" si="49">AE8</f>
        <v>217</v>
      </c>
      <c r="CO8" s="72">
        <f t="shared" ref="CO8:CO10" si="50">AI8</f>
        <v>229</v>
      </c>
      <c r="CP8" s="72">
        <f t="shared" ref="CP8:CP10" si="51">AM8</f>
        <v>272</v>
      </c>
      <c r="CQ8" s="72">
        <f t="shared" ref="CQ8:CQ10" si="52">AQ8</f>
        <v>349</v>
      </c>
      <c r="CR8" s="72">
        <f t="shared" ref="CR8:CR10" si="53">AU8</f>
        <v>383</v>
      </c>
      <c r="CS8" s="72">
        <f t="shared" ref="CS8:CS10" si="54">AY8</f>
        <v>397</v>
      </c>
      <c r="CT8" s="23">
        <f t="shared" ref="CT8:CT10" si="55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56">CONCATENATE(B9,"_",C9)</f>
        <v>5ht2a_human_6A93</v>
      </c>
      <c r="B9" s="3" t="s">
        <v>132</v>
      </c>
      <c r="C9" s="3" t="s">
        <v>1555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ref="BB9" si="57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58">_xlfn.AGGREGATE(9,6,CH9:CS9)-_xlfn.AGGREGATE(9,6,BV9:CG9)+12</f>
        <v>259</v>
      </c>
      <c r="BD9" s="4" t="s">
        <v>23</v>
      </c>
      <c r="BE9" s="3" t="s">
        <v>1370</v>
      </c>
      <c r="BF9" s="118">
        <v>3</v>
      </c>
      <c r="BG9" s="49" t="s">
        <v>1</v>
      </c>
      <c r="BH9" s="49" t="s">
        <v>1</v>
      </c>
      <c r="BI9" s="1"/>
      <c r="BJ9" s="70" t="s">
        <v>1283</v>
      </c>
      <c r="BK9" s="57" t="s">
        <v>1283</v>
      </c>
      <c r="BL9" s="57" t="s">
        <v>1283</v>
      </c>
      <c r="BM9" s="57" t="s">
        <v>1283</v>
      </c>
      <c r="BN9" s="57" t="s">
        <v>1283</v>
      </c>
      <c r="BO9" s="57" t="s">
        <v>1283</v>
      </c>
      <c r="BP9" s="57" t="s">
        <v>1283</v>
      </c>
      <c r="BQ9" s="57" t="s">
        <v>1283</v>
      </c>
      <c r="BR9" s="57" t="s">
        <v>1283</v>
      </c>
      <c r="BS9" s="57" t="s">
        <v>1283</v>
      </c>
      <c r="BT9" s="57" t="s">
        <v>1283</v>
      </c>
      <c r="BU9" s="57" t="s">
        <v>1283</v>
      </c>
      <c r="BV9" s="70">
        <f t="shared" ref="BV9" si="59">E9</f>
        <v>69</v>
      </c>
      <c r="BW9" s="71">
        <f t="shared" ref="BW9" si="60">I9</f>
        <v>103</v>
      </c>
      <c r="BX9" s="72">
        <f t="shared" ref="BX9" si="61">M9</f>
        <v>107</v>
      </c>
      <c r="BY9" s="71">
        <f t="shared" ref="BY9" si="62">Q9</f>
        <v>140</v>
      </c>
      <c r="BZ9" s="72">
        <f t="shared" ref="BZ9" si="63">U9</f>
        <v>144</v>
      </c>
      <c r="CA9" s="71" t="str">
        <f t="shared" ref="CA9" si="64">Y9</f>
        <v>-</v>
      </c>
      <c r="CB9" s="72">
        <f t="shared" ref="CB9" si="65">AC9</f>
        <v>189</v>
      </c>
      <c r="CC9" s="71">
        <f t="shared" ref="CC9" si="66">AG9</f>
        <v>227</v>
      </c>
      <c r="CD9" s="72">
        <f t="shared" ref="CD9" si="67">AK9</f>
        <v>231</v>
      </c>
      <c r="CE9" s="71">
        <f t="shared" ref="CE9" si="68">AO9</f>
        <v>313</v>
      </c>
      <c r="CF9" s="72">
        <f t="shared" ref="CF9" si="69">AS9</f>
        <v>354</v>
      </c>
      <c r="CG9" s="71">
        <f t="shared" ref="CG9" si="70">AW9</f>
        <v>384</v>
      </c>
      <c r="CH9" s="70">
        <f t="shared" ref="CH9" si="71">G9</f>
        <v>102</v>
      </c>
      <c r="CI9" s="71">
        <f t="shared" ref="CI9" si="72">K9</f>
        <v>106</v>
      </c>
      <c r="CJ9" s="72">
        <f t="shared" ref="CJ9" si="73">O9</f>
        <v>138</v>
      </c>
      <c r="CK9" s="72">
        <f t="shared" ref="CK9" si="74">S9</f>
        <v>143</v>
      </c>
      <c r="CL9" s="72">
        <f t="shared" ref="CL9" si="75">W9</f>
        <v>179</v>
      </c>
      <c r="CM9" s="72" t="str">
        <f t="shared" ref="CM9" si="76">AA9</f>
        <v>-</v>
      </c>
      <c r="CN9" s="72">
        <f t="shared" ref="CN9" si="77">AE9</f>
        <v>217</v>
      </c>
      <c r="CO9" s="72">
        <f t="shared" ref="CO9" si="78">AI9</f>
        <v>229</v>
      </c>
      <c r="CP9" s="72">
        <f t="shared" ref="CP9" si="79">AM9</f>
        <v>265</v>
      </c>
      <c r="CQ9" s="72">
        <f t="shared" ref="CQ9" si="80">AQ9</f>
        <v>349</v>
      </c>
      <c r="CR9" s="72">
        <f t="shared" ref="CR9" si="81">AU9</f>
        <v>383</v>
      </c>
      <c r="CS9" s="72">
        <f t="shared" ref="CS9" si="82">AY9</f>
        <v>397</v>
      </c>
      <c r="CT9" s="23">
        <f t="shared" ref="CT9" si="83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28"/>
        <v>5ht2a_human_6A94</v>
      </c>
      <c r="B10" s="3" t="s">
        <v>132</v>
      </c>
      <c r="C10" s="3" t="s">
        <v>1554</v>
      </c>
      <c r="D10" s="3" t="str">
        <f>IFERROR(MID(VLOOKUP($B10,Seqs!$A:$B,2,0),E10,1),"")</f>
        <v>L</v>
      </c>
      <c r="E10" s="3">
        <v>69</v>
      </c>
      <c r="F10" s="3" t="str">
        <f>IFERROR(MID(VLOOKUP($B10,Seqs!$A:$B,2,0),G10,1),"")</f>
        <v>E</v>
      </c>
      <c r="G10" s="3">
        <v>102</v>
      </c>
      <c r="H10" s="3" t="str">
        <f>IFERROR(MID(VLOOKUP($B10,Seqs!$A:$B,2,0),I10,1),"")</f>
        <v>K</v>
      </c>
      <c r="I10" s="23">
        <v>103</v>
      </c>
      <c r="J10" s="3" t="str">
        <f>IFERROR(MID(VLOOKUP($B10,Seqs!$A:$B,2,0),K10,1),"")</f>
        <v>Q</v>
      </c>
      <c r="K10" s="23">
        <v>106</v>
      </c>
      <c r="L10" s="3" t="str">
        <f>IFERROR(MID(VLOOKUP($B10,Seqs!$A:$B,2,0),M10,1),"")</f>
        <v>N</v>
      </c>
      <c r="M10" s="3">
        <v>107</v>
      </c>
      <c r="N10" s="3" t="str">
        <f>IFERROR(MID(VLOOKUP($B10,Seqs!$A:$B,2,0),O10,1),"")</f>
        <v>G</v>
      </c>
      <c r="O10" s="3">
        <v>138</v>
      </c>
      <c r="P10" s="3" t="str">
        <f>IFERROR(MID(VLOOKUP($B10,Seqs!$A:$B,2,0),Q10,1),"")</f>
        <v>R</v>
      </c>
      <c r="Q10" s="3">
        <v>140</v>
      </c>
      <c r="R10" s="3" t="str">
        <f>IFERROR(MID(VLOOKUP($B10,Seqs!$A:$B,2,0),S10,1),"")</f>
        <v>L</v>
      </c>
      <c r="S10" s="3">
        <v>143</v>
      </c>
      <c r="T10" s="3" t="str">
        <f>IFERROR(MID(VLOOKUP($B10,Seqs!$A:$B,2,0),U10,1),"")</f>
        <v>P</v>
      </c>
      <c r="U10" s="3">
        <v>144</v>
      </c>
      <c r="V10" s="3" t="str">
        <f>IFERROR(MID(VLOOKUP($B10,Seqs!$A:$B,2,0),W10,1),"")</f>
        <v>N</v>
      </c>
      <c r="W10" s="3">
        <v>179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R</v>
      </c>
      <c r="AC10" s="3">
        <v>189</v>
      </c>
      <c r="AD10" s="3" t="str">
        <f>IFERROR(MID(VLOOKUP($B10,Seqs!$A:$B,2,0),AE10,1),"")</f>
        <v>D</v>
      </c>
      <c r="AE10" s="3">
        <v>217</v>
      </c>
      <c r="AF10" s="3" t="str">
        <f>IFERROR(MID(VLOOKUP($B10,Seqs!$A:$B,2,0),AG10,1),"")</f>
        <v>C</v>
      </c>
      <c r="AG10" s="3">
        <v>227</v>
      </c>
      <c r="AH10" s="3" t="str">
        <f>IFERROR(MID(VLOOKUP($B10,Seqs!$A:$B,2,0),AI10,1),"")</f>
        <v>L</v>
      </c>
      <c r="AI10" s="3">
        <v>229</v>
      </c>
      <c r="AJ10" s="3" t="str">
        <f>IFERROR(MID(VLOOKUP($B10,Seqs!$A:$B,2,0),AK10,1),"")</f>
        <v>D</v>
      </c>
      <c r="AK10" s="3">
        <v>231</v>
      </c>
      <c r="AL10" s="3" t="str">
        <f>IFERROR(MID(VLOOKUP($B10,Seqs!$A:$B,2,0),AM10,1),"")</f>
        <v>A</v>
      </c>
      <c r="AM10" s="3">
        <v>265</v>
      </c>
      <c r="AN10" s="3" t="str">
        <f>IFERROR(MID(VLOOKUP($B10,Seqs!$A:$B,2,0),AO10,1),"")</f>
        <v>Q</v>
      </c>
      <c r="AO10" s="3">
        <v>313</v>
      </c>
      <c r="AP10" s="3" t="str">
        <f>IFERROR(MID(VLOOKUP($B10,Seqs!$A:$B,2,0),AQ10,1),"")</f>
        <v>C</v>
      </c>
      <c r="AQ10" s="3">
        <v>349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C</v>
      </c>
      <c r="AY10" s="3">
        <v>397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29"/>
        <v>1</v>
      </c>
      <c r="BC10" s="23">
        <f t="shared" si="30"/>
        <v>259</v>
      </c>
      <c r="BD10" s="4" t="s">
        <v>1372</v>
      </c>
      <c r="BE10" s="3" t="s">
        <v>1370</v>
      </c>
      <c r="BF10" s="118">
        <v>2.9</v>
      </c>
      <c r="BG10" s="49" t="s">
        <v>1</v>
      </c>
      <c r="BH10" s="49" t="s">
        <v>1</v>
      </c>
      <c r="BI10" s="1"/>
      <c r="BJ10" s="70" t="s">
        <v>1283</v>
      </c>
      <c r="BK10" s="57" t="s">
        <v>1283</v>
      </c>
      <c r="BL10" s="57" t="s">
        <v>1283</v>
      </c>
      <c r="BM10" s="57" t="s">
        <v>1283</v>
      </c>
      <c r="BN10" s="57" t="s">
        <v>1283</v>
      </c>
      <c r="BO10" s="57" t="s">
        <v>1283</v>
      </c>
      <c r="BP10" s="57" t="s">
        <v>1283</v>
      </c>
      <c r="BQ10" s="57" t="s">
        <v>1283</v>
      </c>
      <c r="BR10" s="57" t="s">
        <v>1283</v>
      </c>
      <c r="BS10" s="57" t="s">
        <v>1283</v>
      </c>
      <c r="BT10" s="57" t="s">
        <v>1283</v>
      </c>
      <c r="BU10" s="57" t="s">
        <v>1283</v>
      </c>
      <c r="BV10" s="70">
        <f t="shared" si="31"/>
        <v>69</v>
      </c>
      <c r="BW10" s="71">
        <f t="shared" si="32"/>
        <v>103</v>
      </c>
      <c r="BX10" s="72">
        <f t="shared" si="33"/>
        <v>107</v>
      </c>
      <c r="BY10" s="71">
        <f t="shared" si="34"/>
        <v>140</v>
      </c>
      <c r="BZ10" s="72">
        <f t="shared" si="35"/>
        <v>144</v>
      </c>
      <c r="CA10" s="71" t="str">
        <f t="shared" si="36"/>
        <v>-</v>
      </c>
      <c r="CB10" s="72">
        <f t="shared" si="37"/>
        <v>189</v>
      </c>
      <c r="CC10" s="71">
        <f t="shared" si="38"/>
        <v>227</v>
      </c>
      <c r="CD10" s="72">
        <f t="shared" si="39"/>
        <v>231</v>
      </c>
      <c r="CE10" s="71">
        <f t="shared" si="40"/>
        <v>313</v>
      </c>
      <c r="CF10" s="72">
        <f t="shared" si="41"/>
        <v>354</v>
      </c>
      <c r="CG10" s="71">
        <f t="shared" si="42"/>
        <v>384</v>
      </c>
      <c r="CH10" s="70">
        <f t="shared" si="43"/>
        <v>102</v>
      </c>
      <c r="CI10" s="71">
        <f t="shared" si="44"/>
        <v>106</v>
      </c>
      <c r="CJ10" s="72">
        <f t="shared" si="45"/>
        <v>138</v>
      </c>
      <c r="CK10" s="72">
        <f t="shared" si="46"/>
        <v>143</v>
      </c>
      <c r="CL10" s="72">
        <f t="shared" si="47"/>
        <v>179</v>
      </c>
      <c r="CM10" s="72" t="str">
        <f t="shared" si="48"/>
        <v>-</v>
      </c>
      <c r="CN10" s="72">
        <f t="shared" si="49"/>
        <v>217</v>
      </c>
      <c r="CO10" s="72">
        <f t="shared" si="50"/>
        <v>229</v>
      </c>
      <c r="CP10" s="72">
        <f t="shared" si="51"/>
        <v>265</v>
      </c>
      <c r="CQ10" s="72">
        <f t="shared" si="52"/>
        <v>349</v>
      </c>
      <c r="CR10" s="72">
        <f t="shared" si="53"/>
        <v>383</v>
      </c>
      <c r="CS10" s="72">
        <f t="shared" si="54"/>
        <v>397</v>
      </c>
      <c r="CT10" s="23">
        <f t="shared" si="55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5ht2b_human__wt</v>
      </c>
      <c r="B11" s="3" t="s">
        <v>35</v>
      </c>
      <c r="C11" s="3" t="s">
        <v>100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>P</v>
      </c>
      <c r="Y11" s="3">
        <v>160</v>
      </c>
      <c r="Z11" s="3" t="str">
        <f>IFERROR(MID(VLOOKUP($B11,Seqs!$A:$B,2,0),AA11,1),"")</f>
        <v>N</v>
      </c>
      <c r="AA11" s="3">
        <v>167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P</v>
      </c>
      <c r="AM11" s="3">
        <v>255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265</v>
      </c>
      <c r="BD11" s="91" t="s">
        <v>23</v>
      </c>
      <c r="BE11" s="3" t="s">
        <v>23</v>
      </c>
      <c r="BF11" s="118" t="s">
        <v>23</v>
      </c>
      <c r="BG11" s="49" t="s">
        <v>1368</v>
      </c>
      <c r="BH11" s="49" t="s">
        <v>1373</v>
      </c>
      <c r="BI11" s="1"/>
      <c r="BJ11" s="70" t="s">
        <v>1283</v>
      </c>
      <c r="BK11" s="57" t="s">
        <v>1283</v>
      </c>
      <c r="BL11" s="57" t="s">
        <v>1283</v>
      </c>
      <c r="BM11" s="57" t="s">
        <v>1283</v>
      </c>
      <c r="BN11" s="57" t="s">
        <v>1283</v>
      </c>
      <c r="BO11" s="57" t="s">
        <v>1283</v>
      </c>
      <c r="BP11" s="57" t="s">
        <v>1283</v>
      </c>
      <c r="BQ11" s="57" t="s">
        <v>1283</v>
      </c>
      <c r="BR11" s="57" t="s">
        <v>1283</v>
      </c>
      <c r="BS11" s="57" t="s">
        <v>1283</v>
      </c>
      <c r="BT11" s="57" t="s">
        <v>1283</v>
      </c>
      <c r="BU11" s="57" t="s">
        <v>1283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>
        <f t="shared" si="8"/>
        <v>160</v>
      </c>
      <c r="CB11" s="72">
        <f t="shared" si="9"/>
        <v>168</v>
      </c>
      <c r="CC11" s="71">
        <f t="shared" si="10"/>
        <v>207</v>
      </c>
      <c r="CD11" s="72">
        <f t="shared" si="11"/>
        <v>214</v>
      </c>
      <c r="CE11" s="71">
        <f t="shared" si="12"/>
        <v>313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>
        <f t="shared" si="20"/>
        <v>167</v>
      </c>
      <c r="CN11" s="72">
        <f t="shared" si="21"/>
        <v>194</v>
      </c>
      <c r="CO11" s="72">
        <f t="shared" si="22"/>
        <v>209</v>
      </c>
      <c r="CP11" s="72">
        <f t="shared" si="23"/>
        <v>255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</v>
      </c>
      <c r="B12" s="3" t="s">
        <v>35</v>
      </c>
      <c r="C12" s="3" t="s">
        <v>70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N</v>
      </c>
      <c r="AC12" s="3">
        <v>164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254</v>
      </c>
      <c r="BD12" s="16" t="s">
        <v>1425</v>
      </c>
      <c r="BE12" s="3" t="s">
        <v>1424</v>
      </c>
      <c r="BF12" s="118">
        <v>2.7</v>
      </c>
      <c r="BG12" s="49" t="s">
        <v>1373</v>
      </c>
      <c r="BH12" s="49" t="s">
        <v>1373</v>
      </c>
      <c r="BI12" s="1"/>
      <c r="BJ12" s="70" t="s">
        <v>1283</v>
      </c>
      <c r="BK12" s="57" t="s">
        <v>1283</v>
      </c>
      <c r="BL12" s="57" t="s">
        <v>1283</v>
      </c>
      <c r="BM12" s="57" t="s">
        <v>1283</v>
      </c>
      <c r="BN12" s="57" t="s">
        <v>1283</v>
      </c>
      <c r="BO12" s="57" t="s">
        <v>1283</v>
      </c>
      <c r="BP12" s="57" t="s">
        <v>1283</v>
      </c>
      <c r="BQ12" s="57" t="s">
        <v>1283</v>
      </c>
      <c r="BR12" s="57" t="s">
        <v>1283</v>
      </c>
      <c r="BS12" s="57" t="s">
        <v>1283</v>
      </c>
      <c r="BT12" s="57" t="s">
        <v>1283</v>
      </c>
      <c r="BU12" s="57" t="s">
        <v>1283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164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5ht2b_human_4IB4_dist</v>
      </c>
      <c r="B13" s="3" t="s">
        <v>35</v>
      </c>
      <c r="C13" s="3" t="s">
        <v>1160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Q</v>
      </c>
      <c r="AC13" s="3">
        <v>165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253</v>
      </c>
      <c r="BD13" s="56" t="s">
        <v>23</v>
      </c>
      <c r="BE13" s="3" t="s">
        <v>1424</v>
      </c>
      <c r="BF13" s="118">
        <v>2.7</v>
      </c>
      <c r="BG13" s="49" t="s">
        <v>1373</v>
      </c>
      <c r="BH13" s="49" t="s">
        <v>1373</v>
      </c>
      <c r="BI13" s="1"/>
      <c r="BJ13" s="70" t="s">
        <v>1283</v>
      </c>
      <c r="BK13" s="57" t="s">
        <v>1283</v>
      </c>
      <c r="BL13" s="57" t="s">
        <v>1283</v>
      </c>
      <c r="BM13" s="57" t="s">
        <v>1283</v>
      </c>
      <c r="BN13" s="57" t="s">
        <v>1283</v>
      </c>
      <c r="BO13" s="57" t="s">
        <v>1283</v>
      </c>
      <c r="BP13" s="57" t="s">
        <v>1283</v>
      </c>
      <c r="BQ13" s="57" t="s">
        <v>1283</v>
      </c>
      <c r="BR13" s="57" t="s">
        <v>1283</v>
      </c>
      <c r="BS13" s="57" t="s">
        <v>1283</v>
      </c>
      <c r="BT13" s="57" t="s">
        <v>1283</v>
      </c>
      <c r="BU13" s="57" t="s">
        <v>1283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165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5ht2b_human_4NC3</v>
      </c>
      <c r="B14" s="3" t="s">
        <v>35</v>
      </c>
      <c r="C14" s="3" t="s">
        <v>1304</v>
      </c>
      <c r="D14" s="3" t="str">
        <f>IFERROR(MID(VLOOKUP($B14,Seqs!$A:$B,2,0),E14,1),"")</f>
        <v>K</v>
      </c>
      <c r="E14" s="3">
        <v>53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G</v>
      </c>
      <c r="AE14" s="3">
        <v>194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F</v>
      </c>
      <c r="AU14" s="3">
        <v>383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I</v>
      </c>
      <c r="AY14" s="3">
        <v>395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si="1"/>
        <v>1</v>
      </c>
      <c r="BC14" s="23">
        <f t="shared" si="2"/>
        <v>254</v>
      </c>
      <c r="BD14" s="4" t="s">
        <v>23</v>
      </c>
      <c r="BE14" s="3" t="s">
        <v>1424</v>
      </c>
      <c r="BF14" s="118">
        <v>2.8</v>
      </c>
      <c r="BG14" s="49" t="s">
        <v>1373</v>
      </c>
      <c r="BH14" s="49" t="s">
        <v>1373</v>
      </c>
      <c r="BI14" s="1"/>
      <c r="BJ14" s="70" t="s">
        <v>1283</v>
      </c>
      <c r="BK14" s="57" t="s">
        <v>1283</v>
      </c>
      <c r="BL14" s="57" t="s">
        <v>1283</v>
      </c>
      <c r="BM14" s="57" t="s">
        <v>1283</v>
      </c>
      <c r="BN14" s="57" t="s">
        <v>1283</v>
      </c>
      <c r="BO14" s="57" t="s">
        <v>1283</v>
      </c>
      <c r="BP14" s="57" t="s">
        <v>1283</v>
      </c>
      <c r="BQ14" s="57" t="s">
        <v>1283</v>
      </c>
      <c r="BR14" s="57" t="s">
        <v>1283</v>
      </c>
      <c r="BS14" s="57" t="s">
        <v>1283</v>
      </c>
      <c r="BT14" s="57" t="s">
        <v>1283</v>
      </c>
      <c r="BU14" s="57" t="s">
        <v>1283</v>
      </c>
      <c r="BV14" s="70">
        <f t="shared" si="3"/>
        <v>53</v>
      </c>
      <c r="BW14" s="71">
        <f t="shared" si="4"/>
        <v>83</v>
      </c>
      <c r="BX14" s="72">
        <f t="shared" si="5"/>
        <v>87</v>
      </c>
      <c r="BY14" s="71">
        <f t="shared" si="6"/>
        <v>120</v>
      </c>
      <c r="BZ14" s="72">
        <f t="shared" si="7"/>
        <v>124</v>
      </c>
      <c r="CA14" s="71" t="str">
        <f t="shared" si="8"/>
        <v>-</v>
      </c>
      <c r="CB14" s="72">
        <f t="shared" si="9"/>
        <v>164</v>
      </c>
      <c r="CC14" s="71">
        <f t="shared" si="10"/>
        <v>207</v>
      </c>
      <c r="CD14" s="72">
        <f t="shared" si="11"/>
        <v>214</v>
      </c>
      <c r="CE14" s="71">
        <f t="shared" si="12"/>
        <v>314</v>
      </c>
      <c r="CF14" s="72">
        <f t="shared" si="13"/>
        <v>354</v>
      </c>
      <c r="CG14" s="71">
        <f t="shared" si="14"/>
        <v>384</v>
      </c>
      <c r="CH14" s="70">
        <f t="shared" si="15"/>
        <v>82</v>
      </c>
      <c r="CI14" s="71">
        <f t="shared" si="16"/>
        <v>86</v>
      </c>
      <c r="CJ14" s="72">
        <f t="shared" si="17"/>
        <v>117</v>
      </c>
      <c r="CK14" s="72">
        <f t="shared" si="18"/>
        <v>123</v>
      </c>
      <c r="CL14" s="72">
        <f t="shared" si="19"/>
        <v>159</v>
      </c>
      <c r="CM14" s="72" t="str">
        <f t="shared" si="20"/>
        <v>-</v>
      </c>
      <c r="CN14" s="72">
        <f t="shared" si="21"/>
        <v>194</v>
      </c>
      <c r="CO14" s="72">
        <f t="shared" si="22"/>
        <v>209</v>
      </c>
      <c r="CP14" s="72">
        <f t="shared" si="23"/>
        <v>248</v>
      </c>
      <c r="CQ14" s="72">
        <f t="shared" si="24"/>
        <v>350</v>
      </c>
      <c r="CR14" s="72">
        <f t="shared" si="25"/>
        <v>383</v>
      </c>
      <c r="CS14" s="72">
        <f t="shared" si="26"/>
        <v>395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26" si="84">CONCATENATE(B15,"_",C15)</f>
        <v>5ht2b_human_5TUD</v>
      </c>
      <c r="B15" s="3" t="s">
        <v>35</v>
      </c>
      <c r="C15" s="3" t="s">
        <v>1423</v>
      </c>
      <c r="D15" s="3" t="str">
        <f>IFERROR(MID(VLOOKUP($B15,Seqs!$A:$B,2,0),E15,1),"")</f>
        <v>A</v>
      </c>
      <c r="E15" s="3">
        <v>57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N</v>
      </c>
      <c r="AC15" s="3">
        <v>164</v>
      </c>
      <c r="AD15" s="3" t="str">
        <f>IFERROR(MID(VLOOKUP($B15,Seqs!$A:$B,2,0),AE15,1),"")</f>
        <v>K</v>
      </c>
      <c r="AE15" s="3">
        <v>193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Q</v>
      </c>
      <c r="AO15" s="3">
        <v>314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L</v>
      </c>
      <c r="AU15" s="3">
        <v>382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T</v>
      </c>
      <c r="AY15" s="3">
        <v>396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ref="BB15:BB26" si="85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26" si="86">_xlfn.AGGREGATE(9,6,CH15:CS15)-_xlfn.AGGREGATE(9,6,BV15:CG15)+12</f>
        <v>249</v>
      </c>
      <c r="BD15" s="4" t="s">
        <v>1371</v>
      </c>
      <c r="BE15" s="3" t="s">
        <v>1287</v>
      </c>
      <c r="BF15" s="118">
        <v>3</v>
      </c>
      <c r="BG15" s="49" t="s">
        <v>1373</v>
      </c>
      <c r="BH15" s="49" t="s">
        <v>1373</v>
      </c>
      <c r="BI15" s="1"/>
      <c r="BJ15" s="70" t="s">
        <v>1283</v>
      </c>
      <c r="BK15" s="57" t="s">
        <v>1283</v>
      </c>
      <c r="BL15" s="57" t="s">
        <v>1283</v>
      </c>
      <c r="BM15" s="57" t="s">
        <v>1283</v>
      </c>
      <c r="BN15" s="57" t="s">
        <v>1283</v>
      </c>
      <c r="BO15" s="57" t="s">
        <v>1283</v>
      </c>
      <c r="BP15" s="57" t="s">
        <v>1283</v>
      </c>
      <c r="BQ15" s="57" t="s">
        <v>1283</v>
      </c>
      <c r="BR15" s="57" t="s">
        <v>1283</v>
      </c>
      <c r="BS15" s="57" t="s">
        <v>1283</v>
      </c>
      <c r="BT15" s="57" t="s">
        <v>1283</v>
      </c>
      <c r="BU15" s="57" t="s">
        <v>1283</v>
      </c>
      <c r="BV15" s="70">
        <f t="shared" ref="BV15:BV26" si="87">E15</f>
        <v>57</v>
      </c>
      <c r="BW15" s="71">
        <f t="shared" ref="BW15:BW26" si="88">I15</f>
        <v>83</v>
      </c>
      <c r="BX15" s="72">
        <f t="shared" ref="BX15:BX26" si="89">M15</f>
        <v>87</v>
      </c>
      <c r="BY15" s="71">
        <f t="shared" ref="BY15:BY26" si="90">Q15</f>
        <v>120</v>
      </c>
      <c r="BZ15" s="72">
        <f t="shared" ref="BZ15:BZ26" si="91">U15</f>
        <v>124</v>
      </c>
      <c r="CA15" s="71" t="str">
        <f t="shared" ref="CA15:CA26" si="92">Y15</f>
        <v>-</v>
      </c>
      <c r="CB15" s="72">
        <f t="shared" ref="CB15:CB26" si="93">AC15</f>
        <v>164</v>
      </c>
      <c r="CC15" s="71">
        <f t="shared" ref="CC15:CC26" si="94">AG15</f>
        <v>207</v>
      </c>
      <c r="CD15" s="72">
        <f t="shared" ref="CD15:CD26" si="95">AK15</f>
        <v>214</v>
      </c>
      <c r="CE15" s="71">
        <f t="shared" ref="CE15:CE26" si="96">AO15</f>
        <v>314</v>
      </c>
      <c r="CF15" s="72">
        <f t="shared" ref="CF15:CF26" si="97">AS15</f>
        <v>354</v>
      </c>
      <c r="CG15" s="71">
        <f t="shared" ref="CG15:CG26" si="98">AW15</f>
        <v>384</v>
      </c>
      <c r="CH15" s="70">
        <f t="shared" ref="CH15:CH26" si="99">G15</f>
        <v>82</v>
      </c>
      <c r="CI15" s="71">
        <f t="shared" ref="CI15:CI26" si="100">K15</f>
        <v>86</v>
      </c>
      <c r="CJ15" s="72">
        <f t="shared" ref="CJ15:CJ26" si="101">O15</f>
        <v>117</v>
      </c>
      <c r="CK15" s="72">
        <f t="shared" ref="CK15:CK26" si="102">S15</f>
        <v>123</v>
      </c>
      <c r="CL15" s="72">
        <f t="shared" ref="CL15:CL26" si="103">W15</f>
        <v>159</v>
      </c>
      <c r="CM15" s="72" t="str">
        <f t="shared" ref="CM15:CM26" si="104">AA15</f>
        <v>-</v>
      </c>
      <c r="CN15" s="72">
        <f t="shared" ref="CN15:CN26" si="105">AE15</f>
        <v>193</v>
      </c>
      <c r="CO15" s="72">
        <f t="shared" ref="CO15:CO26" si="106">AI15</f>
        <v>209</v>
      </c>
      <c r="CP15" s="72">
        <f t="shared" ref="CP15:CP26" si="107">AM15</f>
        <v>248</v>
      </c>
      <c r="CQ15" s="72">
        <f t="shared" ref="CQ15:CQ26" si="108">AQ15</f>
        <v>350</v>
      </c>
      <c r="CR15" s="72">
        <f t="shared" ref="CR15:CR26" si="109">AU15</f>
        <v>382</v>
      </c>
      <c r="CS15" s="72">
        <f t="shared" ref="CS15:CS26" si="110">AY15</f>
        <v>396</v>
      </c>
      <c r="CT15" s="23">
        <f t="shared" ref="CT15:CT26" si="111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84"/>
        <v>5ht2b_human_5TVN</v>
      </c>
      <c r="B16" s="3" t="s">
        <v>35</v>
      </c>
      <c r="C16" s="3" t="s">
        <v>1382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S</v>
      </c>
      <c r="AC16" s="3">
        <v>168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V</v>
      </c>
      <c r="AO16" s="3">
        <v>313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si="85"/>
        <v>1</v>
      </c>
      <c r="BC16" s="23">
        <f t="shared" si="86"/>
        <v>251</v>
      </c>
      <c r="BD16" s="4" t="s">
        <v>23</v>
      </c>
      <c r="BE16" s="3" t="s">
        <v>1424</v>
      </c>
      <c r="BF16" s="118">
        <v>2.9</v>
      </c>
      <c r="BG16" s="49" t="s">
        <v>1373</v>
      </c>
      <c r="BH16" s="49" t="s">
        <v>1373</v>
      </c>
      <c r="BI16" s="1"/>
      <c r="BJ16" s="70" t="s">
        <v>1283</v>
      </c>
      <c r="BK16" s="57" t="s">
        <v>1283</v>
      </c>
      <c r="BL16" s="57" t="s">
        <v>1283</v>
      </c>
      <c r="BM16" s="57" t="s">
        <v>1283</v>
      </c>
      <c r="BN16" s="57" t="s">
        <v>1283</v>
      </c>
      <c r="BO16" s="57" t="s">
        <v>1283</v>
      </c>
      <c r="BP16" s="57" t="s">
        <v>1283</v>
      </c>
      <c r="BQ16" s="57" t="s">
        <v>1283</v>
      </c>
      <c r="BR16" s="57" t="s">
        <v>1283</v>
      </c>
      <c r="BS16" s="57" t="s">
        <v>1283</v>
      </c>
      <c r="BT16" s="57" t="s">
        <v>1283</v>
      </c>
      <c r="BU16" s="57" t="s">
        <v>1283</v>
      </c>
      <c r="BV16" s="70">
        <f t="shared" si="87"/>
        <v>53</v>
      </c>
      <c r="BW16" s="71">
        <f t="shared" si="88"/>
        <v>83</v>
      </c>
      <c r="BX16" s="72">
        <f t="shared" si="89"/>
        <v>87</v>
      </c>
      <c r="BY16" s="71">
        <f t="shared" si="90"/>
        <v>120</v>
      </c>
      <c r="BZ16" s="72">
        <f t="shared" si="91"/>
        <v>124</v>
      </c>
      <c r="CA16" s="71" t="str">
        <f t="shared" si="92"/>
        <v>-</v>
      </c>
      <c r="CB16" s="72">
        <f t="shared" si="93"/>
        <v>168</v>
      </c>
      <c r="CC16" s="71">
        <f t="shared" si="94"/>
        <v>207</v>
      </c>
      <c r="CD16" s="72">
        <f t="shared" si="95"/>
        <v>214</v>
      </c>
      <c r="CE16" s="71">
        <f t="shared" si="96"/>
        <v>313</v>
      </c>
      <c r="CF16" s="72">
        <f t="shared" si="97"/>
        <v>354</v>
      </c>
      <c r="CG16" s="71">
        <f t="shared" si="98"/>
        <v>384</v>
      </c>
      <c r="CH16" s="70">
        <f t="shared" si="99"/>
        <v>82</v>
      </c>
      <c r="CI16" s="71">
        <f t="shared" si="100"/>
        <v>86</v>
      </c>
      <c r="CJ16" s="72">
        <f t="shared" si="101"/>
        <v>117</v>
      </c>
      <c r="CK16" s="72">
        <f t="shared" si="102"/>
        <v>123</v>
      </c>
      <c r="CL16" s="72">
        <f t="shared" si="103"/>
        <v>159</v>
      </c>
      <c r="CM16" s="72" t="str">
        <f t="shared" si="104"/>
        <v>-</v>
      </c>
      <c r="CN16" s="72">
        <f t="shared" si="105"/>
        <v>194</v>
      </c>
      <c r="CO16" s="72">
        <f t="shared" si="106"/>
        <v>209</v>
      </c>
      <c r="CP16" s="72">
        <f t="shared" si="107"/>
        <v>248</v>
      </c>
      <c r="CQ16" s="72">
        <f t="shared" si="108"/>
        <v>350</v>
      </c>
      <c r="CR16" s="72">
        <f t="shared" si="109"/>
        <v>383</v>
      </c>
      <c r="CS16" s="72">
        <f t="shared" si="110"/>
        <v>395</v>
      </c>
      <c r="CT16" s="23">
        <f t="shared" si="111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ref="A17" si="112">CONCATENATE(B17,"_",C17)</f>
        <v>5ht2b_human_6DRX</v>
      </c>
      <c r="B17" s="3" t="s">
        <v>35</v>
      </c>
      <c r="C17" s="3" t="s">
        <v>1508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N</v>
      </c>
      <c r="AC17" s="3">
        <v>164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Q</v>
      </c>
      <c r="AO17" s="3">
        <v>314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ref="BB17" si="113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23">
        <f t="shared" ref="BC17" si="114">_xlfn.AGGREGATE(9,6,CH17:CS17)-_xlfn.AGGREGATE(9,6,BV17:CG17)+12</f>
        <v>254</v>
      </c>
      <c r="BD17" s="4" t="s">
        <v>23</v>
      </c>
      <c r="BE17" s="3" t="s">
        <v>1424</v>
      </c>
      <c r="BF17" s="118">
        <v>3.1</v>
      </c>
      <c r="BG17" s="49" t="s">
        <v>1</v>
      </c>
      <c r="BH17" s="49" t="s">
        <v>1</v>
      </c>
      <c r="BI17" s="1"/>
      <c r="BJ17" s="70" t="s">
        <v>1283</v>
      </c>
      <c r="BK17" s="57" t="s">
        <v>1283</v>
      </c>
      <c r="BL17" s="57" t="s">
        <v>1283</v>
      </c>
      <c r="BM17" s="57" t="s">
        <v>1283</v>
      </c>
      <c r="BN17" s="57" t="s">
        <v>1283</v>
      </c>
      <c r="BO17" s="57" t="s">
        <v>1283</v>
      </c>
      <c r="BP17" s="57" t="s">
        <v>1283</v>
      </c>
      <c r="BQ17" s="57" t="s">
        <v>1283</v>
      </c>
      <c r="BR17" s="57" t="s">
        <v>1283</v>
      </c>
      <c r="BS17" s="57" t="s">
        <v>1283</v>
      </c>
      <c r="BT17" s="57" t="s">
        <v>1283</v>
      </c>
      <c r="BU17" s="57" t="s">
        <v>1283</v>
      </c>
      <c r="BV17" s="70">
        <f t="shared" ref="BV17" si="115">E17</f>
        <v>53</v>
      </c>
      <c r="BW17" s="71">
        <f t="shared" ref="BW17" si="116">I17</f>
        <v>83</v>
      </c>
      <c r="BX17" s="72">
        <f t="shared" ref="BX17" si="117">M17</f>
        <v>87</v>
      </c>
      <c r="BY17" s="71">
        <f t="shared" ref="BY17" si="118">Q17</f>
        <v>120</v>
      </c>
      <c r="BZ17" s="72">
        <f t="shared" ref="BZ17" si="119">U17</f>
        <v>124</v>
      </c>
      <c r="CA17" s="71" t="str">
        <f t="shared" ref="CA17" si="120">Y17</f>
        <v>-</v>
      </c>
      <c r="CB17" s="72">
        <f t="shared" ref="CB17" si="121">AC17</f>
        <v>164</v>
      </c>
      <c r="CC17" s="71">
        <f t="shared" ref="CC17" si="122">AG17</f>
        <v>207</v>
      </c>
      <c r="CD17" s="72">
        <f t="shared" ref="CD17" si="123">AK17</f>
        <v>214</v>
      </c>
      <c r="CE17" s="71">
        <f t="shared" ref="CE17" si="124">AO17</f>
        <v>314</v>
      </c>
      <c r="CF17" s="72">
        <f t="shared" ref="CF17" si="125">AS17</f>
        <v>354</v>
      </c>
      <c r="CG17" s="71">
        <f t="shared" ref="CG17" si="126">AW17</f>
        <v>384</v>
      </c>
      <c r="CH17" s="70">
        <f t="shared" ref="CH17" si="127">G17</f>
        <v>82</v>
      </c>
      <c r="CI17" s="71">
        <f t="shared" ref="CI17" si="128">K17</f>
        <v>86</v>
      </c>
      <c r="CJ17" s="72">
        <f t="shared" ref="CJ17" si="129">O17</f>
        <v>117</v>
      </c>
      <c r="CK17" s="72">
        <f t="shared" ref="CK17" si="130">S17</f>
        <v>123</v>
      </c>
      <c r="CL17" s="72">
        <f t="shared" ref="CL17" si="131">W17</f>
        <v>159</v>
      </c>
      <c r="CM17" s="72" t="str">
        <f t="shared" ref="CM17" si="132">AA17</f>
        <v>-</v>
      </c>
      <c r="CN17" s="72">
        <f t="shared" ref="CN17" si="133">AE17</f>
        <v>194</v>
      </c>
      <c r="CO17" s="72">
        <f t="shared" ref="CO17" si="134">AI17</f>
        <v>209</v>
      </c>
      <c r="CP17" s="72">
        <f t="shared" ref="CP17" si="135">AM17</f>
        <v>248</v>
      </c>
      <c r="CQ17" s="72">
        <f t="shared" ref="CQ17" si="136">AQ17</f>
        <v>350</v>
      </c>
      <c r="CR17" s="72">
        <f t="shared" ref="CR17" si="137">AU17</f>
        <v>383</v>
      </c>
      <c r="CS17" s="72">
        <f t="shared" ref="CS17" si="138">AY17</f>
        <v>395</v>
      </c>
      <c r="CT17" s="23">
        <f t="shared" ref="CT17" si="139">M17-K17</f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" si="140">CONCATENATE(B18,"_",C18)</f>
        <v>5ht2b_human_6DRY</v>
      </c>
      <c r="B18" s="3" t="s">
        <v>35</v>
      </c>
      <c r="C18" s="3" t="s">
        <v>1509</v>
      </c>
      <c r="D18" s="3" t="str">
        <f>IFERROR(MID(VLOOKUP($B18,Seqs!$A:$B,2,0),E18,1),"")</f>
        <v>K</v>
      </c>
      <c r="E18" s="3">
        <v>53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168</v>
      </c>
      <c r="AD18" s="3" t="str">
        <f>IFERROR(MID(VLOOKUP($B18,Seqs!$A:$B,2,0),AE18,1),"")</f>
        <v>G</v>
      </c>
      <c r="AE18" s="3">
        <v>194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V</v>
      </c>
      <c r="AO18" s="3">
        <v>313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F</v>
      </c>
      <c r="AU18" s="3">
        <v>383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I</v>
      </c>
      <c r="AY18" s="3">
        <v>395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" si="141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" si="142">_xlfn.AGGREGATE(9,6,CH18:CS18)-_xlfn.AGGREGATE(9,6,BV18:CG18)+12</f>
        <v>251</v>
      </c>
      <c r="BD18" s="4" t="s">
        <v>23</v>
      </c>
      <c r="BE18" s="3" t="s">
        <v>1424</v>
      </c>
      <c r="BF18" s="118">
        <v>2.92</v>
      </c>
      <c r="BG18" s="49" t="s">
        <v>1</v>
      </c>
      <c r="BH18" s="49" t="s">
        <v>1</v>
      </c>
      <c r="BI18" s="1"/>
      <c r="BJ18" s="70" t="s">
        <v>1283</v>
      </c>
      <c r="BK18" s="57" t="s">
        <v>1283</v>
      </c>
      <c r="BL18" s="57" t="s">
        <v>1283</v>
      </c>
      <c r="BM18" s="57" t="s">
        <v>1283</v>
      </c>
      <c r="BN18" s="57" t="s">
        <v>1283</v>
      </c>
      <c r="BO18" s="57" t="s">
        <v>1283</v>
      </c>
      <c r="BP18" s="57" t="s">
        <v>1283</v>
      </c>
      <c r="BQ18" s="57" t="s">
        <v>1283</v>
      </c>
      <c r="BR18" s="57" t="s">
        <v>1283</v>
      </c>
      <c r="BS18" s="57" t="s">
        <v>1283</v>
      </c>
      <c r="BT18" s="57" t="s">
        <v>1283</v>
      </c>
      <c r="BU18" s="57" t="s">
        <v>1283</v>
      </c>
      <c r="BV18" s="70">
        <f t="shared" ref="BV18" si="143">E18</f>
        <v>53</v>
      </c>
      <c r="BW18" s="71">
        <f t="shared" ref="BW18" si="144">I18</f>
        <v>83</v>
      </c>
      <c r="BX18" s="72">
        <f t="shared" ref="BX18" si="145">M18</f>
        <v>87</v>
      </c>
      <c r="BY18" s="71">
        <f t="shared" ref="BY18" si="146">Q18</f>
        <v>120</v>
      </c>
      <c r="BZ18" s="72">
        <f t="shared" ref="BZ18" si="147">U18</f>
        <v>124</v>
      </c>
      <c r="CA18" s="71" t="str">
        <f t="shared" ref="CA18" si="148">Y18</f>
        <v>-</v>
      </c>
      <c r="CB18" s="72">
        <f t="shared" ref="CB18" si="149">AC18</f>
        <v>168</v>
      </c>
      <c r="CC18" s="71">
        <f t="shared" ref="CC18" si="150">AG18</f>
        <v>207</v>
      </c>
      <c r="CD18" s="72">
        <f t="shared" ref="CD18" si="151">AK18</f>
        <v>214</v>
      </c>
      <c r="CE18" s="71">
        <f t="shared" ref="CE18" si="152">AO18</f>
        <v>313</v>
      </c>
      <c r="CF18" s="72">
        <f t="shared" ref="CF18" si="153">AS18</f>
        <v>354</v>
      </c>
      <c r="CG18" s="71">
        <f t="shared" ref="CG18" si="154">AW18</f>
        <v>384</v>
      </c>
      <c r="CH18" s="70">
        <f t="shared" ref="CH18" si="155">G18</f>
        <v>82</v>
      </c>
      <c r="CI18" s="71">
        <f t="shared" ref="CI18" si="156">K18</f>
        <v>86</v>
      </c>
      <c r="CJ18" s="72">
        <f t="shared" ref="CJ18" si="157">O18</f>
        <v>117</v>
      </c>
      <c r="CK18" s="72">
        <f t="shared" ref="CK18" si="158">S18</f>
        <v>123</v>
      </c>
      <c r="CL18" s="72">
        <f t="shared" ref="CL18" si="159">W18</f>
        <v>159</v>
      </c>
      <c r="CM18" s="72" t="str">
        <f t="shared" ref="CM18" si="160">AA18</f>
        <v>-</v>
      </c>
      <c r="CN18" s="72">
        <f t="shared" ref="CN18" si="161">AE18</f>
        <v>194</v>
      </c>
      <c r="CO18" s="72">
        <f t="shared" ref="CO18" si="162">AI18</f>
        <v>209</v>
      </c>
      <c r="CP18" s="72">
        <f t="shared" ref="CP18" si="163">AM18</f>
        <v>248</v>
      </c>
      <c r="CQ18" s="72">
        <f t="shared" ref="CQ18" si="164">AQ18</f>
        <v>350</v>
      </c>
      <c r="CR18" s="72">
        <f t="shared" ref="CR18" si="165">AU18</f>
        <v>383</v>
      </c>
      <c r="CS18" s="72">
        <f t="shared" ref="CS18" si="166">AY18</f>
        <v>395</v>
      </c>
      <c r="CT18" s="23">
        <f t="shared" ref="CT18" si="167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ref="A19" si="168">CONCATENATE(B19,"_",C19)</f>
        <v>5ht2b_human_6DRZ</v>
      </c>
      <c r="B19" s="3" t="s">
        <v>35</v>
      </c>
      <c r="C19" s="3" t="s">
        <v>1510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R</v>
      </c>
      <c r="AC19" s="3">
        <v>169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V</v>
      </c>
      <c r="AO19" s="3">
        <v>313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ref="BB19" si="169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23">
        <f t="shared" ref="BC19" si="170">_xlfn.AGGREGATE(9,6,CH19:CS19)-_xlfn.AGGREGATE(9,6,BV19:CG19)+12</f>
        <v>250</v>
      </c>
      <c r="BD19" s="4" t="s">
        <v>23</v>
      </c>
      <c r="BE19" s="3" t="s">
        <v>1424</v>
      </c>
      <c r="BF19" s="118">
        <v>3.1</v>
      </c>
      <c r="BG19" s="49" t="s">
        <v>1</v>
      </c>
      <c r="BH19" s="49" t="s">
        <v>1</v>
      </c>
      <c r="BI19" s="1"/>
      <c r="BJ19" s="70" t="s">
        <v>1283</v>
      </c>
      <c r="BK19" s="57" t="s">
        <v>1283</v>
      </c>
      <c r="BL19" s="57" t="s">
        <v>1283</v>
      </c>
      <c r="BM19" s="57" t="s">
        <v>1283</v>
      </c>
      <c r="BN19" s="57" t="s">
        <v>1283</v>
      </c>
      <c r="BO19" s="57" t="s">
        <v>1283</v>
      </c>
      <c r="BP19" s="57" t="s">
        <v>1283</v>
      </c>
      <c r="BQ19" s="57" t="s">
        <v>1283</v>
      </c>
      <c r="BR19" s="57" t="s">
        <v>1283</v>
      </c>
      <c r="BS19" s="57" t="s">
        <v>1283</v>
      </c>
      <c r="BT19" s="57" t="s">
        <v>1283</v>
      </c>
      <c r="BU19" s="57" t="s">
        <v>1283</v>
      </c>
      <c r="BV19" s="70">
        <f t="shared" ref="BV19" si="171">E19</f>
        <v>53</v>
      </c>
      <c r="BW19" s="71">
        <f t="shared" ref="BW19" si="172">I19</f>
        <v>83</v>
      </c>
      <c r="BX19" s="72">
        <f t="shared" ref="BX19" si="173">M19</f>
        <v>87</v>
      </c>
      <c r="BY19" s="71">
        <f t="shared" ref="BY19" si="174">Q19</f>
        <v>120</v>
      </c>
      <c r="BZ19" s="72">
        <f t="shared" ref="BZ19" si="175">U19</f>
        <v>124</v>
      </c>
      <c r="CA19" s="71" t="str">
        <f t="shared" ref="CA19" si="176">Y19</f>
        <v>-</v>
      </c>
      <c r="CB19" s="72">
        <f t="shared" ref="CB19" si="177">AC19</f>
        <v>169</v>
      </c>
      <c r="CC19" s="71">
        <f t="shared" ref="CC19" si="178">AG19</f>
        <v>207</v>
      </c>
      <c r="CD19" s="72">
        <f t="shared" ref="CD19" si="179">AK19</f>
        <v>214</v>
      </c>
      <c r="CE19" s="71">
        <f t="shared" ref="CE19" si="180">AO19</f>
        <v>313</v>
      </c>
      <c r="CF19" s="72">
        <f t="shared" ref="CF19" si="181">AS19</f>
        <v>354</v>
      </c>
      <c r="CG19" s="71">
        <f t="shared" ref="CG19" si="182">AW19</f>
        <v>384</v>
      </c>
      <c r="CH19" s="70">
        <f t="shared" ref="CH19" si="183">G19</f>
        <v>82</v>
      </c>
      <c r="CI19" s="71">
        <f t="shared" ref="CI19" si="184">K19</f>
        <v>86</v>
      </c>
      <c r="CJ19" s="72">
        <f t="shared" ref="CJ19" si="185">O19</f>
        <v>117</v>
      </c>
      <c r="CK19" s="72">
        <f t="shared" ref="CK19" si="186">S19</f>
        <v>123</v>
      </c>
      <c r="CL19" s="72">
        <f t="shared" ref="CL19" si="187">W19</f>
        <v>159</v>
      </c>
      <c r="CM19" s="72" t="str">
        <f t="shared" ref="CM19" si="188">AA19</f>
        <v>-</v>
      </c>
      <c r="CN19" s="72">
        <f t="shared" ref="CN19" si="189">AE19</f>
        <v>194</v>
      </c>
      <c r="CO19" s="72">
        <f t="shared" ref="CO19" si="190">AI19</f>
        <v>209</v>
      </c>
      <c r="CP19" s="72">
        <f t="shared" ref="CP19" si="191">AM19</f>
        <v>248</v>
      </c>
      <c r="CQ19" s="72">
        <f t="shared" ref="CQ19" si="192">AQ19</f>
        <v>350</v>
      </c>
      <c r="CR19" s="72">
        <f t="shared" ref="CR19" si="193">AU19</f>
        <v>383</v>
      </c>
      <c r="CS19" s="72">
        <f t="shared" ref="CS19" si="194">AY19</f>
        <v>395</v>
      </c>
      <c r="CT19" s="23">
        <f t="shared" ref="CT19" si="195">M19-K19</f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ref="A20" si="196">CONCATENATE(B20,"_",C20)</f>
        <v>5ht2b_human_6DS0</v>
      </c>
      <c r="B20" s="3" t="s">
        <v>35</v>
      </c>
      <c r="C20" s="3" t="s">
        <v>1511</v>
      </c>
      <c r="D20" s="3" t="str">
        <f>IFERROR(MID(VLOOKUP($B20,Seqs!$A:$B,2,0),E20,1),"")</f>
        <v>K</v>
      </c>
      <c r="E20" s="3">
        <v>53</v>
      </c>
      <c r="F20" s="3" t="str">
        <f>IFERROR(MID(VLOOKUP($B20,Seqs!$A:$B,2,0),G20,1),"")</f>
        <v>E</v>
      </c>
      <c r="G20" s="3">
        <v>82</v>
      </c>
      <c r="H20" s="3" t="str">
        <f>IFERROR(MID(VLOOKUP($B20,Seqs!$A:$B,2,0),I20,1),"")</f>
        <v>K</v>
      </c>
      <c r="I20" s="23">
        <v>83</v>
      </c>
      <c r="J20" s="3" t="str">
        <f>IFERROR(MID(VLOOKUP($B20,Seqs!$A:$B,2,0),K20,1),"")</f>
        <v>Q</v>
      </c>
      <c r="K20" s="23">
        <v>86</v>
      </c>
      <c r="L20" s="3" t="str">
        <f>IFERROR(MID(VLOOKUP($B20,Seqs!$A:$B,2,0),M20,1),"")</f>
        <v>Y</v>
      </c>
      <c r="M20" s="3">
        <v>87</v>
      </c>
      <c r="N20" s="3" t="str">
        <f>IFERROR(MID(VLOOKUP($B20,Seqs!$A:$B,2,0),O20,1),"")</f>
        <v>F</v>
      </c>
      <c r="O20" s="3">
        <v>117</v>
      </c>
      <c r="P20" s="3" t="str">
        <f>IFERROR(MID(VLOOKUP($B20,Seqs!$A:$B,2,0),Q20,1),"")</f>
        <v>M</v>
      </c>
      <c r="Q20" s="3">
        <v>120</v>
      </c>
      <c r="R20" s="3" t="str">
        <f>IFERROR(MID(VLOOKUP($B20,Seqs!$A:$B,2,0),S20,1),"")</f>
        <v>L</v>
      </c>
      <c r="S20" s="3">
        <v>123</v>
      </c>
      <c r="T20" s="3" t="str">
        <f>IFERROR(MID(VLOOKUP($B20,Seqs!$A:$B,2,0),U20,1),"")</f>
        <v>P</v>
      </c>
      <c r="U20" s="3">
        <v>124</v>
      </c>
      <c r="V20" s="3" t="str">
        <f>IFERROR(MID(VLOOKUP($B20,Seqs!$A:$B,2,0),W20,1),"")</f>
        <v>K</v>
      </c>
      <c r="W20" s="3">
        <v>159</v>
      </c>
      <c r="X20" s="3" t="str">
        <f>IFERROR(MID(VLOOKUP($B20,Seqs!$A:$B,2,0),Y20,1),"")</f>
        <v/>
      </c>
      <c r="Y20" s="3" t="s">
        <v>23</v>
      </c>
      <c r="Z20" s="3" t="str">
        <f>IFERROR(MID(VLOOKUP($B20,Seqs!$A:$B,2,0),AA20,1),"")</f>
        <v/>
      </c>
      <c r="AA20" s="3" t="s">
        <v>23</v>
      </c>
      <c r="AB20" s="3" t="str">
        <f>IFERROR(MID(VLOOKUP($B20,Seqs!$A:$B,2,0),AC20,1),"")</f>
        <v>N</v>
      </c>
      <c r="AC20" s="3">
        <v>167</v>
      </c>
      <c r="AD20" s="3" t="str">
        <f>IFERROR(MID(VLOOKUP($B20,Seqs!$A:$B,2,0),AE20,1),"")</f>
        <v>G</v>
      </c>
      <c r="AE20" s="3">
        <v>194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F</v>
      </c>
      <c r="AK20" s="3">
        <v>214</v>
      </c>
      <c r="AL20" s="3" t="str">
        <f>IFERROR(MID(VLOOKUP($B20,Seqs!$A:$B,2,0),AM20,1),"")</f>
        <v>A</v>
      </c>
      <c r="AM20" s="3">
        <v>248</v>
      </c>
      <c r="AN20" s="3" t="str">
        <f>IFERROR(MID(VLOOKUP($B20,Seqs!$A:$B,2,0),AO20,1),"")</f>
        <v>Q</v>
      </c>
      <c r="AO20" s="3">
        <v>314</v>
      </c>
      <c r="AP20" s="3" t="str">
        <f>IFERROR(MID(VLOOKUP($B20,Seqs!$A:$B,2,0),AQ20,1),"")</f>
        <v>C</v>
      </c>
      <c r="AQ20" s="3">
        <v>350</v>
      </c>
      <c r="AR20" s="3" t="str">
        <f>IFERROR(MID(VLOOKUP($B20,Seqs!$A:$B,2,0),AS20,1),"")</f>
        <v>N</v>
      </c>
      <c r="AS20" s="3">
        <v>354</v>
      </c>
      <c r="AT20" s="3" t="str">
        <f>IFERROR(MID(VLOOKUP($B20,Seqs!$A:$B,2,0),AU20,1),"")</f>
        <v>F</v>
      </c>
      <c r="AU20" s="3">
        <v>383</v>
      </c>
      <c r="AV20" s="3" t="str">
        <f>IFERROR(MID(VLOOKUP($B20,Seqs!$A:$B,2,0),AW20,1),"")</f>
        <v>N</v>
      </c>
      <c r="AW20" s="3">
        <v>384</v>
      </c>
      <c r="AX20" s="3" t="str">
        <f>IFERROR(MID(VLOOKUP($B20,Seqs!$A:$B,2,0),AY20,1),"")</f>
        <v>I</v>
      </c>
      <c r="AY20" s="3">
        <v>395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ref="BB20" si="197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C20" s="23">
        <f t="shared" ref="BC20" si="198">_xlfn.AGGREGATE(9,6,CH20:CS20)-_xlfn.AGGREGATE(9,6,BV20:CG20)+12</f>
        <v>251</v>
      </c>
      <c r="BD20" s="4" t="s">
        <v>23</v>
      </c>
      <c r="BE20" s="3" t="s">
        <v>1424</v>
      </c>
      <c r="BF20" s="118">
        <v>3.19</v>
      </c>
      <c r="BG20" s="49" t="s">
        <v>1</v>
      </c>
      <c r="BH20" s="49" t="s">
        <v>1</v>
      </c>
      <c r="BI20" s="1"/>
      <c r="BJ20" s="70" t="s">
        <v>1283</v>
      </c>
      <c r="BK20" s="57" t="s">
        <v>1283</v>
      </c>
      <c r="BL20" s="57" t="s">
        <v>1283</v>
      </c>
      <c r="BM20" s="57" t="s">
        <v>1283</v>
      </c>
      <c r="BN20" s="57" t="s">
        <v>1283</v>
      </c>
      <c r="BO20" s="57" t="s">
        <v>1283</v>
      </c>
      <c r="BP20" s="57" t="s">
        <v>1283</v>
      </c>
      <c r="BQ20" s="57" t="s">
        <v>1283</v>
      </c>
      <c r="BR20" s="57" t="s">
        <v>1283</v>
      </c>
      <c r="BS20" s="57" t="s">
        <v>1283</v>
      </c>
      <c r="BT20" s="57" t="s">
        <v>1283</v>
      </c>
      <c r="BU20" s="57" t="s">
        <v>1283</v>
      </c>
      <c r="BV20" s="70">
        <f t="shared" ref="BV20" si="199">E20</f>
        <v>53</v>
      </c>
      <c r="BW20" s="71">
        <f t="shared" ref="BW20" si="200">I20</f>
        <v>83</v>
      </c>
      <c r="BX20" s="72">
        <f t="shared" ref="BX20" si="201">M20</f>
        <v>87</v>
      </c>
      <c r="BY20" s="71">
        <f t="shared" ref="BY20" si="202">Q20</f>
        <v>120</v>
      </c>
      <c r="BZ20" s="72">
        <f t="shared" ref="BZ20" si="203">U20</f>
        <v>124</v>
      </c>
      <c r="CA20" s="71" t="str">
        <f t="shared" ref="CA20" si="204">Y20</f>
        <v>-</v>
      </c>
      <c r="CB20" s="72">
        <f t="shared" ref="CB20" si="205">AC20</f>
        <v>167</v>
      </c>
      <c r="CC20" s="71">
        <f t="shared" ref="CC20" si="206">AG20</f>
        <v>207</v>
      </c>
      <c r="CD20" s="72">
        <f t="shared" ref="CD20" si="207">AK20</f>
        <v>214</v>
      </c>
      <c r="CE20" s="71">
        <f t="shared" ref="CE20" si="208">AO20</f>
        <v>314</v>
      </c>
      <c r="CF20" s="72">
        <f t="shared" ref="CF20" si="209">AS20</f>
        <v>354</v>
      </c>
      <c r="CG20" s="71">
        <f t="shared" ref="CG20" si="210">AW20</f>
        <v>384</v>
      </c>
      <c r="CH20" s="70">
        <f t="shared" ref="CH20" si="211">G20</f>
        <v>82</v>
      </c>
      <c r="CI20" s="71">
        <f t="shared" ref="CI20" si="212">K20</f>
        <v>86</v>
      </c>
      <c r="CJ20" s="72">
        <f t="shared" ref="CJ20" si="213">O20</f>
        <v>117</v>
      </c>
      <c r="CK20" s="72">
        <f t="shared" ref="CK20" si="214">S20</f>
        <v>123</v>
      </c>
      <c r="CL20" s="72">
        <f t="shared" ref="CL20" si="215">W20</f>
        <v>159</v>
      </c>
      <c r="CM20" s="72" t="str">
        <f t="shared" ref="CM20" si="216">AA20</f>
        <v>-</v>
      </c>
      <c r="CN20" s="72">
        <f t="shared" ref="CN20" si="217">AE20</f>
        <v>194</v>
      </c>
      <c r="CO20" s="72">
        <f t="shared" ref="CO20" si="218">AI20</f>
        <v>209</v>
      </c>
      <c r="CP20" s="72">
        <f t="shared" ref="CP20" si="219">AM20</f>
        <v>248</v>
      </c>
      <c r="CQ20" s="72">
        <f t="shared" ref="CQ20" si="220">AQ20</f>
        <v>350</v>
      </c>
      <c r="CR20" s="72">
        <f t="shared" ref="CR20" si="221">AU20</f>
        <v>383</v>
      </c>
      <c r="CS20" s="72">
        <f t="shared" ref="CS20" si="222">AY20</f>
        <v>395</v>
      </c>
      <c r="CT20" s="23">
        <f t="shared" ref="CT20" si="223">M20-K20</f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5ht2c_human__wt</v>
      </c>
      <c r="B21" s="3" t="s">
        <v>133</v>
      </c>
      <c r="C21" s="3" t="s">
        <v>100</v>
      </c>
      <c r="D21" s="3" t="str">
        <f>IFERROR(MID(VLOOKUP($B21,Seqs!$A:$B,2,0),E21,1),"")</f>
        <v>N</v>
      </c>
      <c r="E21" s="3">
        <v>54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>P</v>
      </c>
      <c r="Y21" s="3">
        <v>159</v>
      </c>
      <c r="Z21" s="3" t="str">
        <f>IFERROR(MID(VLOOKUP($B21,Seqs!$A:$B,2,0),AA21,1),"")</f>
        <v>N</v>
      </c>
      <c r="AA21" s="3">
        <v>166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H</v>
      </c>
      <c r="AM21" s="3">
        <v>250</v>
      </c>
      <c r="AN21" s="3" t="str">
        <f>IFERROR(MID(VLOOKUP($B21,Seqs!$A:$B,2,0),AO21,1),"")</f>
        <v>M</v>
      </c>
      <c r="AO21" s="3">
        <v>300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267</v>
      </c>
      <c r="BD21" s="4" t="s">
        <v>23</v>
      </c>
      <c r="BE21" s="3" t="s">
        <v>23</v>
      </c>
      <c r="BF21" s="118" t="s">
        <v>23</v>
      </c>
      <c r="BG21" s="49" t="s">
        <v>1373</v>
      </c>
      <c r="BH21" s="49" t="s">
        <v>1373</v>
      </c>
      <c r="BI21" s="1"/>
      <c r="BJ21" s="70" t="s">
        <v>1283</v>
      </c>
      <c r="BK21" s="57" t="s">
        <v>1283</v>
      </c>
      <c r="BL21" s="57" t="s">
        <v>1283</v>
      </c>
      <c r="BM21" s="57" t="s">
        <v>1283</v>
      </c>
      <c r="BN21" s="57" t="s">
        <v>1283</v>
      </c>
      <c r="BO21" s="57" t="s">
        <v>1283</v>
      </c>
      <c r="BP21" s="57" t="s">
        <v>1283</v>
      </c>
      <c r="BQ21" s="57" t="s">
        <v>1283</v>
      </c>
      <c r="BR21" s="57" t="s">
        <v>1283</v>
      </c>
      <c r="BS21" s="57" t="s">
        <v>1283</v>
      </c>
      <c r="BT21" s="57" t="s">
        <v>1283</v>
      </c>
      <c r="BU21" s="57" t="s">
        <v>1283</v>
      </c>
      <c r="BV21" s="70">
        <f t="shared" si="87"/>
        <v>54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>
        <f t="shared" si="92"/>
        <v>159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300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>
        <f t="shared" si="104"/>
        <v>166</v>
      </c>
      <c r="CN21" s="72">
        <f t="shared" si="105"/>
        <v>196</v>
      </c>
      <c r="CO21" s="72">
        <f t="shared" si="106"/>
        <v>209</v>
      </c>
      <c r="CP21" s="72">
        <f t="shared" si="107"/>
        <v>250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5ht2c_human_6BQG</v>
      </c>
      <c r="B22" s="3" t="s">
        <v>133</v>
      </c>
      <c r="C22" s="3" t="s">
        <v>1461</v>
      </c>
      <c r="D22" s="3" t="str">
        <f>IFERROR(MID(VLOOKUP($B22,Seqs!$A:$B,2,0),E22,1),"")</f>
        <v>V</v>
      </c>
      <c r="E22" s="3">
        <v>61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N</v>
      </c>
      <c r="W22" s="3">
        <v>158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S</v>
      </c>
      <c r="AC22" s="3">
        <v>167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C</v>
      </c>
      <c r="AQ22" s="3">
        <v>337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C</v>
      </c>
      <c r="AY22" s="3">
        <v>385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247</v>
      </c>
      <c r="BD22" s="4" t="s">
        <v>1371</v>
      </c>
      <c r="BE22" s="3" t="s">
        <v>1287</v>
      </c>
      <c r="BF22" s="118">
        <v>3</v>
      </c>
      <c r="BG22" s="49" t="s">
        <v>1</v>
      </c>
      <c r="BH22" s="49" t="s">
        <v>1</v>
      </c>
      <c r="BI22" s="1"/>
      <c r="BJ22" s="70" t="s">
        <v>1283</v>
      </c>
      <c r="BK22" s="57" t="s">
        <v>1283</v>
      </c>
      <c r="BL22" s="57" t="s">
        <v>1283</v>
      </c>
      <c r="BM22" s="57" t="s">
        <v>1283</v>
      </c>
      <c r="BN22" s="57" t="s">
        <v>1283</v>
      </c>
      <c r="BO22" s="57" t="s">
        <v>1283</v>
      </c>
      <c r="BP22" s="57" t="s">
        <v>1283</v>
      </c>
      <c r="BQ22" s="57" t="s">
        <v>1283</v>
      </c>
      <c r="BR22" s="57" t="s">
        <v>1283</v>
      </c>
      <c r="BS22" s="57" t="s">
        <v>1283</v>
      </c>
      <c r="BT22" s="57" t="s">
        <v>1283</v>
      </c>
      <c r="BU22" s="57" t="s">
        <v>1283</v>
      </c>
      <c r="BV22" s="70">
        <f t="shared" si="87"/>
        <v>61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167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158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337</v>
      </c>
      <c r="CR22" s="72">
        <f t="shared" si="109"/>
        <v>371</v>
      </c>
      <c r="CS22" s="72">
        <f t="shared" si="110"/>
        <v>385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5ht2c_human_6BQH</v>
      </c>
      <c r="B23" s="3" t="s">
        <v>133</v>
      </c>
      <c r="C23" s="3" t="s">
        <v>1462</v>
      </c>
      <c r="D23" s="3" t="str">
        <f>IFERROR(MID(VLOOKUP($B23,Seqs!$A:$B,2,0),E23,1),"")</f>
        <v>I</v>
      </c>
      <c r="E23" s="3">
        <v>60</v>
      </c>
      <c r="F23" s="3" t="str">
        <f>IFERROR(MID(VLOOKUP($B23,Seqs!$A:$B,2,0),G23,1),"")</f>
        <v>E</v>
      </c>
      <c r="G23" s="3">
        <v>81</v>
      </c>
      <c r="H23" s="3" t="str">
        <f>IFERROR(MID(VLOOKUP($B23,Seqs!$A:$B,2,0),I23,1),"")</f>
        <v>K</v>
      </c>
      <c r="I23" s="23">
        <v>82</v>
      </c>
      <c r="J23" s="3" t="str">
        <f>IFERROR(MID(VLOOKUP($B23,Seqs!$A:$B,2,0),K23,1),"")</f>
        <v>H</v>
      </c>
      <c r="K23" s="23">
        <v>85</v>
      </c>
      <c r="L23" s="3" t="str">
        <f>IFERROR(MID(VLOOKUP($B23,Seqs!$A:$B,2,0),M23,1),"")</f>
        <v>N</v>
      </c>
      <c r="M23" s="3">
        <v>86</v>
      </c>
      <c r="N23" s="3" t="str">
        <f>IFERROR(MID(VLOOKUP($B23,Seqs!$A:$B,2,0),O23,1),"")</f>
        <v>D</v>
      </c>
      <c r="O23" s="3">
        <v>117</v>
      </c>
      <c r="P23" s="3" t="str">
        <f>IFERROR(MID(VLOOKUP($B23,Seqs!$A:$B,2,0),Q23,1),"")</f>
        <v>V</v>
      </c>
      <c r="Q23" s="3">
        <v>119</v>
      </c>
      <c r="R23" s="3" t="str">
        <f>IFERROR(MID(VLOOKUP($B23,Seqs!$A:$B,2,0),S23,1),"")</f>
        <v>L</v>
      </c>
      <c r="S23" s="3">
        <v>122</v>
      </c>
      <c r="T23" s="3" t="str">
        <f>IFERROR(MID(VLOOKUP($B23,Seqs!$A:$B,2,0),U23,1),"")</f>
        <v>P</v>
      </c>
      <c r="U23" s="3">
        <v>123</v>
      </c>
      <c r="V23" s="3" t="str">
        <f>IFERROR(MID(VLOOKUP($B23,Seqs!$A:$B,2,0),W23,1),"")</f>
        <v>R</v>
      </c>
      <c r="W23" s="3">
        <v>157</v>
      </c>
      <c r="X23" s="3" t="str">
        <f>IFERROR(MID(VLOOKUP($B23,Seqs!$A:$B,2,0),Y23,1),"")</f>
        <v/>
      </c>
      <c r="Y23" s="3" t="s">
        <v>23</v>
      </c>
      <c r="Z23" s="3" t="str">
        <f>IFERROR(MID(VLOOKUP($B23,Seqs!$A:$B,2,0),AA23,1),"")</f>
        <v/>
      </c>
      <c r="AA23" s="3" t="s">
        <v>23</v>
      </c>
      <c r="AB23" s="3" t="str">
        <f>IFERROR(MID(VLOOKUP($B23,Seqs!$A:$B,2,0),AC23,1),"")</f>
        <v>N</v>
      </c>
      <c r="AC23" s="3">
        <v>166</v>
      </c>
      <c r="AD23" s="3" t="str">
        <f>IFERROR(MID(VLOOKUP($B23,Seqs!$A:$B,2,0),AE23,1),"")</f>
        <v>D</v>
      </c>
      <c r="AE23" s="3">
        <v>196</v>
      </c>
      <c r="AF23" s="3" t="str">
        <f>IFERROR(MID(VLOOKUP($B23,Seqs!$A:$B,2,0),AG23,1),"")</f>
        <v>C</v>
      </c>
      <c r="AG23" s="3">
        <v>207</v>
      </c>
      <c r="AH23" s="3" t="str">
        <f>IFERROR(MID(VLOOKUP($B23,Seqs!$A:$B,2,0),AI23,1),"")</f>
        <v>L</v>
      </c>
      <c r="AI23" s="3">
        <v>209</v>
      </c>
      <c r="AJ23" s="3" t="str">
        <f>IFERROR(MID(VLOOKUP($B23,Seqs!$A:$B,2,0),AK23,1),"")</f>
        <v>D</v>
      </c>
      <c r="AK23" s="3">
        <v>211</v>
      </c>
      <c r="AL23" s="3" t="str">
        <f>IFERROR(MID(VLOOKUP($B23,Seqs!$A:$B,2,0),AM23,1),"")</f>
        <v>A</v>
      </c>
      <c r="AM23" s="3">
        <v>245</v>
      </c>
      <c r="AN23" s="3" t="str">
        <f>IFERROR(MID(VLOOKUP($B23,Seqs!$A:$B,2,0),AO23,1),"")</f>
        <v>Q</v>
      </c>
      <c r="AO23" s="3">
        <v>301</v>
      </c>
      <c r="AP23" s="3" t="str">
        <f>IFERROR(MID(VLOOKUP($B23,Seqs!$A:$B,2,0),AQ23,1),"")</f>
        <v>L</v>
      </c>
      <c r="AQ23" s="3">
        <v>336</v>
      </c>
      <c r="AR23" s="3" t="str">
        <f>IFERROR(MID(VLOOKUP($B23,Seqs!$A:$B,2,0),AS23,1),"")</f>
        <v>N</v>
      </c>
      <c r="AS23" s="3">
        <v>342</v>
      </c>
      <c r="AT23" s="3" t="str">
        <f>IFERROR(MID(VLOOKUP($B23,Seqs!$A:$B,2,0),AU23,1),"")</f>
        <v>F</v>
      </c>
      <c r="AU23" s="3">
        <v>371</v>
      </c>
      <c r="AV23" s="3" t="str">
        <f>IFERROR(MID(VLOOKUP($B23,Seqs!$A:$B,2,0),AW23,1),"")</f>
        <v>N</v>
      </c>
      <c r="AW23" s="3">
        <v>372</v>
      </c>
      <c r="AX23" s="3" t="str">
        <f>IFERROR(MID(VLOOKUP($B23,Seqs!$A:$B,2,0),AY23,1),"")</f>
        <v>N</v>
      </c>
      <c r="AY23" s="3">
        <v>386</v>
      </c>
      <c r="AZ23" s="77" t="str">
        <f>VLOOKUP(B23,Classification!A:D,2,0)</f>
        <v>A</v>
      </c>
      <c r="BA23" s="94" t="str">
        <f>VLOOKUP(B23,Classification!A:D,4,0)</f>
        <v>5-Hydroxytryptamine</v>
      </c>
      <c r="BB23" s="27" t="b">
        <f t="shared" si="85"/>
        <v>1</v>
      </c>
      <c r="BC23" s="23">
        <f t="shared" si="86"/>
        <v>248</v>
      </c>
      <c r="BD23" s="4" t="s">
        <v>1425</v>
      </c>
      <c r="BE23" s="3" t="s">
        <v>1424</v>
      </c>
      <c r="BF23" s="118">
        <v>2.7</v>
      </c>
      <c r="BG23" s="49" t="s">
        <v>1</v>
      </c>
      <c r="BH23" s="49" t="s">
        <v>1</v>
      </c>
      <c r="BI23" s="1"/>
      <c r="BJ23" s="70" t="s">
        <v>1283</v>
      </c>
      <c r="BK23" s="57" t="s">
        <v>1283</v>
      </c>
      <c r="BL23" s="57" t="s">
        <v>1283</v>
      </c>
      <c r="BM23" s="57" t="s">
        <v>1283</v>
      </c>
      <c r="BN23" s="57" t="s">
        <v>1283</v>
      </c>
      <c r="BO23" s="57" t="s">
        <v>1283</v>
      </c>
      <c r="BP23" s="57" t="s">
        <v>1283</v>
      </c>
      <c r="BQ23" s="57" t="s">
        <v>1283</v>
      </c>
      <c r="BR23" s="57" t="s">
        <v>1283</v>
      </c>
      <c r="BS23" s="57" t="s">
        <v>1283</v>
      </c>
      <c r="BT23" s="57" t="s">
        <v>1283</v>
      </c>
      <c r="BU23" s="57" t="s">
        <v>1283</v>
      </c>
      <c r="BV23" s="70">
        <f t="shared" si="87"/>
        <v>60</v>
      </c>
      <c r="BW23" s="71">
        <f t="shared" si="88"/>
        <v>82</v>
      </c>
      <c r="BX23" s="72">
        <f t="shared" si="89"/>
        <v>86</v>
      </c>
      <c r="BY23" s="71">
        <f t="shared" si="90"/>
        <v>119</v>
      </c>
      <c r="BZ23" s="72">
        <f t="shared" si="91"/>
        <v>123</v>
      </c>
      <c r="CA23" s="71" t="str">
        <f t="shared" si="92"/>
        <v>-</v>
      </c>
      <c r="CB23" s="72">
        <f t="shared" si="93"/>
        <v>166</v>
      </c>
      <c r="CC23" s="71">
        <f t="shared" si="94"/>
        <v>207</v>
      </c>
      <c r="CD23" s="72">
        <f t="shared" si="95"/>
        <v>211</v>
      </c>
      <c r="CE23" s="71">
        <f t="shared" si="96"/>
        <v>301</v>
      </c>
      <c r="CF23" s="72">
        <f t="shared" si="97"/>
        <v>342</v>
      </c>
      <c r="CG23" s="71">
        <f t="shared" si="98"/>
        <v>372</v>
      </c>
      <c r="CH23" s="70">
        <f t="shared" si="99"/>
        <v>81</v>
      </c>
      <c r="CI23" s="71">
        <f t="shared" si="100"/>
        <v>85</v>
      </c>
      <c r="CJ23" s="72">
        <f t="shared" si="101"/>
        <v>117</v>
      </c>
      <c r="CK23" s="72">
        <f t="shared" si="102"/>
        <v>122</v>
      </c>
      <c r="CL23" s="72">
        <f t="shared" si="103"/>
        <v>157</v>
      </c>
      <c r="CM23" s="72" t="str">
        <f t="shared" si="104"/>
        <v>-</v>
      </c>
      <c r="CN23" s="72">
        <f t="shared" si="105"/>
        <v>196</v>
      </c>
      <c r="CO23" s="72">
        <f t="shared" si="106"/>
        <v>209</v>
      </c>
      <c r="CP23" s="72">
        <f t="shared" si="107"/>
        <v>245</v>
      </c>
      <c r="CQ23" s="72">
        <f t="shared" si="108"/>
        <v>336</v>
      </c>
      <c r="CR23" s="72">
        <f t="shared" si="109"/>
        <v>371</v>
      </c>
      <c r="CS23" s="72">
        <f t="shared" si="110"/>
        <v>386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aa1r_human__wt</v>
      </c>
      <c r="B24" s="3" t="s">
        <v>138</v>
      </c>
      <c r="C24" s="3" t="s">
        <v>100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37</v>
      </c>
      <c r="H24" s="3" t="str">
        <f>IFERROR(MID(VLOOKUP($B24,Seqs!$A:$B,2,0),I24,1),"")</f>
        <v>Q</v>
      </c>
      <c r="I24" s="23">
        <v>38</v>
      </c>
      <c r="J24" s="3" t="str">
        <f>IFERROR(MID(VLOOKUP($B24,Seqs!$A:$B,2,0),K24,1),"")</f>
        <v>R</v>
      </c>
      <c r="K24" s="23">
        <v>41</v>
      </c>
      <c r="L24" s="3" t="str">
        <f>IFERROR(MID(VLOOKUP($B24,Seqs!$A:$B,2,0),M24,1),"")</f>
        <v>D</v>
      </c>
      <c r="M24" s="3">
        <v>42</v>
      </c>
      <c r="N24" s="3" t="str">
        <f>IFERROR(MID(VLOOKUP($B24,Seqs!$A:$B,2,0),O24,1),"")</f>
        <v>G</v>
      </c>
      <c r="O24" s="3">
        <v>72</v>
      </c>
      <c r="P24" s="3" t="str">
        <f>IFERROR(MID(VLOOKUP($B24,Seqs!$A:$B,2,0),Q24,1),"")</f>
        <v>P</v>
      </c>
      <c r="Q24" s="3">
        <v>73</v>
      </c>
      <c r="R24" s="3" t="str">
        <f>IFERROR(MID(VLOOKUP($B24,Seqs!$A:$B,2,0),S24,1),"")</f>
        <v>T</v>
      </c>
      <c r="S24" s="3">
        <v>75</v>
      </c>
      <c r="T24" s="3" t="str">
        <f>IFERROR(MID(VLOOKUP($B24,Seqs!$A:$B,2,0),U24,1),"")</f>
        <v>Y</v>
      </c>
      <c r="U24" s="3">
        <v>76</v>
      </c>
      <c r="V24" s="3" t="str">
        <f>IFERROR(MID(VLOOKUP($B24,Seqs!$A:$B,2,0),W24,1),"")</f>
        <v>I</v>
      </c>
      <c r="W24" s="3">
        <v>111</v>
      </c>
      <c r="X24" s="3" t="str">
        <f>IFERROR(MID(VLOOKUP($B24,Seqs!$A:$B,2,0),Y24,1),"")</f>
        <v>P</v>
      </c>
      <c r="Y24" s="3">
        <v>112</v>
      </c>
      <c r="Z24" s="3" t="str">
        <f>IFERROR(MID(VLOOKUP($B24,Seqs!$A:$B,2,0),AA24,1),"")</f>
        <v>V</v>
      </c>
      <c r="AA24" s="3">
        <v>119</v>
      </c>
      <c r="AB24" s="3" t="str">
        <f>IFERROR(MID(VLOOKUP($B24,Seqs!$A:$B,2,0),AC24,1),"")</f>
        <v>T</v>
      </c>
      <c r="AC24" s="3">
        <v>120</v>
      </c>
      <c r="AD24" s="3" t="str">
        <f>IFERROR(MID(VLOOKUP($B24,Seqs!$A:$B,2,0),AE24,1),"")</f>
        <v>G</v>
      </c>
      <c r="AE24" s="3">
        <v>145</v>
      </c>
      <c r="AF24" s="3" t="str">
        <f>IFERROR(MID(VLOOKUP($B24,Seqs!$A:$B,2,0),AG24,1),"")</f>
        <v>C</v>
      </c>
      <c r="AG24" s="3">
        <v>169</v>
      </c>
      <c r="AH24" s="3" t="str">
        <f>IFERROR(MID(VLOOKUP($B24,Seqs!$A:$B,2,0),AI24,1),"")</f>
        <v>F</v>
      </c>
      <c r="AI24" s="3">
        <v>171</v>
      </c>
      <c r="AJ24" s="3" t="str">
        <f>IFERROR(MID(VLOOKUP($B24,Seqs!$A:$B,2,0),AK24,1),"")</f>
        <v>S</v>
      </c>
      <c r="AK24" s="3">
        <v>176</v>
      </c>
      <c r="AL24" s="3" t="str">
        <f>IFERROR(MID(VLOOKUP($B24,Seqs!$A:$B,2,0),AM24,1),"")</f>
        <v>V</v>
      </c>
      <c r="AM24" s="3">
        <v>215</v>
      </c>
      <c r="AN24" s="3" t="str">
        <f>IFERROR(MID(VLOOKUP($B24,Seqs!$A:$B,2,0),AO24,1),"")</f>
        <v>D</v>
      </c>
      <c r="AO24" s="3">
        <v>221</v>
      </c>
      <c r="AP24" s="3" t="str">
        <f>IFERROR(MID(VLOOKUP($B24,Seqs!$A:$B,2,0),AQ24,1),"")</f>
        <v>C</v>
      </c>
      <c r="AQ24" s="3">
        <v>260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P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272</v>
      </c>
      <c r="BD24" s="4" t="s">
        <v>23</v>
      </c>
      <c r="BE24" s="3" t="s">
        <v>23</v>
      </c>
      <c r="BF24" s="118" t="s">
        <v>23</v>
      </c>
      <c r="BG24" s="49" t="s">
        <v>1373</v>
      </c>
      <c r="BH24" s="49" t="s">
        <v>1373</v>
      </c>
      <c r="BI24" s="1"/>
      <c r="BJ24" s="70" t="s">
        <v>1283</v>
      </c>
      <c r="BK24" s="57" t="s">
        <v>1283</v>
      </c>
      <c r="BL24" s="57" t="s">
        <v>1283</v>
      </c>
      <c r="BM24" s="57" t="s">
        <v>1283</v>
      </c>
      <c r="BN24" s="57" t="s">
        <v>1283</v>
      </c>
      <c r="BO24" s="57" t="s">
        <v>1283</v>
      </c>
      <c r="BP24" s="57" t="s">
        <v>1283</v>
      </c>
      <c r="BQ24" s="57" t="s">
        <v>1283</v>
      </c>
      <c r="BR24" s="57" t="s">
        <v>1283</v>
      </c>
      <c r="BS24" s="57" t="s">
        <v>1283</v>
      </c>
      <c r="BT24" s="57" t="s">
        <v>1283</v>
      </c>
      <c r="BU24" s="57" t="s">
        <v>1283</v>
      </c>
      <c r="BV24" s="70">
        <f t="shared" si="87"/>
        <v>6</v>
      </c>
      <c r="BW24" s="71">
        <f t="shared" si="88"/>
        <v>38</v>
      </c>
      <c r="BX24" s="72">
        <f t="shared" si="89"/>
        <v>42</v>
      </c>
      <c r="BY24" s="71">
        <f t="shared" si="90"/>
        <v>73</v>
      </c>
      <c r="BZ24" s="72">
        <f t="shared" si="91"/>
        <v>76</v>
      </c>
      <c r="CA24" s="71">
        <f t="shared" si="92"/>
        <v>112</v>
      </c>
      <c r="CB24" s="72">
        <f t="shared" si="93"/>
        <v>120</v>
      </c>
      <c r="CC24" s="71">
        <f t="shared" si="94"/>
        <v>169</v>
      </c>
      <c r="CD24" s="72">
        <f t="shared" si="95"/>
        <v>176</v>
      </c>
      <c r="CE24" s="71">
        <f t="shared" si="96"/>
        <v>221</v>
      </c>
      <c r="CF24" s="72">
        <f t="shared" si="97"/>
        <v>266</v>
      </c>
      <c r="CG24" s="71">
        <f t="shared" si="98"/>
        <v>292</v>
      </c>
      <c r="CH24" s="70">
        <f t="shared" si="99"/>
        <v>37</v>
      </c>
      <c r="CI24" s="71">
        <f t="shared" si="100"/>
        <v>41</v>
      </c>
      <c r="CJ24" s="72">
        <f t="shared" si="101"/>
        <v>72</v>
      </c>
      <c r="CK24" s="72">
        <f t="shared" si="102"/>
        <v>75</v>
      </c>
      <c r="CL24" s="72">
        <f t="shared" si="103"/>
        <v>111</v>
      </c>
      <c r="CM24" s="72">
        <f t="shared" si="104"/>
        <v>119</v>
      </c>
      <c r="CN24" s="72">
        <f t="shared" si="105"/>
        <v>145</v>
      </c>
      <c r="CO24" s="72">
        <f t="shared" si="106"/>
        <v>171</v>
      </c>
      <c r="CP24" s="72">
        <f t="shared" si="107"/>
        <v>215</v>
      </c>
      <c r="CQ24" s="72">
        <f t="shared" si="108"/>
        <v>260</v>
      </c>
      <c r="CR24" s="72">
        <f t="shared" si="109"/>
        <v>291</v>
      </c>
      <c r="CS24" s="72">
        <f t="shared" si="110"/>
        <v>314</v>
      </c>
      <c r="CT24" s="23">
        <f t="shared" si="111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aa1r_human_5N2S</v>
      </c>
      <c r="B25" s="3" t="s">
        <v>138</v>
      </c>
      <c r="C25" s="3" t="s">
        <v>1427</v>
      </c>
      <c r="D25" s="3" t="str">
        <f>IFERROR(MID(VLOOKUP($B25,Seqs!$A:$B,2,0),E25,1),"")</f>
        <v/>
      </c>
      <c r="E25" s="3">
        <v>1111</v>
      </c>
      <c r="F25" s="3" t="str">
        <f>IFERROR(MID(VLOOKUP($B25,Seqs!$A:$B,2,0),G25,1),"")</f>
        <v/>
      </c>
      <c r="G25" s="3">
        <v>1141</v>
      </c>
      <c r="H25" s="3" t="str">
        <f>IFERROR(MID(VLOOKUP($B25,Seqs!$A:$B,2,0),I25,1),"")</f>
        <v/>
      </c>
      <c r="I25" s="23" t="s">
        <v>23</v>
      </c>
      <c r="J25" s="3" t="str">
        <f>IFERROR(MID(VLOOKUP($B25,Seqs!$A:$B,2,0),K25,1),"")</f>
        <v/>
      </c>
      <c r="K25" s="23" t="s">
        <v>23</v>
      </c>
      <c r="L25" s="3" t="str">
        <f>IFERROR(MID(VLOOKUP($B25,Seqs!$A:$B,2,0),M25,1),"")</f>
        <v/>
      </c>
      <c r="M25" s="3">
        <v>1147</v>
      </c>
      <c r="N25" s="3" t="str">
        <f>IFERROR(MID(VLOOKUP($B25,Seqs!$A:$B,2,0),O25,1),"")</f>
        <v/>
      </c>
      <c r="O25" s="3">
        <v>1177</v>
      </c>
      <c r="P25" s="3" t="str">
        <f>IFERROR(MID(VLOOKUP($B25,Seqs!$A:$B,2,0),Q25,1),"")</f>
        <v/>
      </c>
      <c r="Q25" s="3">
        <v>1178</v>
      </c>
      <c r="R25" s="3" t="str">
        <f>IFERROR(MID(VLOOKUP($B25,Seqs!$A:$B,2,0),S25,1),"")</f>
        <v/>
      </c>
      <c r="S25" s="3">
        <v>1180</v>
      </c>
      <c r="T25" s="3" t="str">
        <f>IFERROR(MID(VLOOKUP($B25,Seqs!$A:$B,2,0),U25,1),"")</f>
        <v/>
      </c>
      <c r="U25" s="3">
        <v>1181</v>
      </c>
      <c r="V25" s="3" t="str">
        <f>IFERROR(MID(VLOOKUP($B25,Seqs!$A:$B,2,0),W25,1),"")</f>
        <v/>
      </c>
      <c r="W25" s="3">
        <v>1216</v>
      </c>
      <c r="X25" s="3" t="str">
        <f>IFERROR(MID(VLOOKUP($B25,Seqs!$A:$B,2,0),Y25,1),"")</f>
        <v/>
      </c>
      <c r="Y25" s="3">
        <v>1217</v>
      </c>
      <c r="Z25" s="3" t="str">
        <f>IFERROR(MID(VLOOKUP($B25,Seqs!$A:$B,2,0),AA25,1),"")</f>
        <v/>
      </c>
      <c r="AA25" s="3">
        <v>1224</v>
      </c>
      <c r="AB25" s="3" t="str">
        <f>IFERROR(MID(VLOOKUP($B25,Seqs!$A:$B,2,0),AC25,1),"")</f>
        <v/>
      </c>
      <c r="AC25" s="3">
        <v>1225</v>
      </c>
      <c r="AD25" s="3" t="str">
        <f>IFERROR(MID(VLOOKUP($B25,Seqs!$A:$B,2,0),AE25,1),"")</f>
        <v/>
      </c>
      <c r="AE25" s="3">
        <v>1250</v>
      </c>
      <c r="AF25" s="3" t="str">
        <f>IFERROR(MID(VLOOKUP($B25,Seqs!$A:$B,2,0),AG25,1),"")</f>
        <v/>
      </c>
      <c r="AG25" s="3">
        <v>1274</v>
      </c>
      <c r="AH25" s="3" t="str">
        <f>IFERROR(MID(VLOOKUP($B25,Seqs!$A:$B,2,0),AI25,1),"")</f>
        <v/>
      </c>
      <c r="AI25" s="3">
        <v>1276</v>
      </c>
      <c r="AJ25" s="3" t="str">
        <f>IFERROR(MID(VLOOKUP($B25,Seqs!$A:$B,2,0),AK25,1),"")</f>
        <v/>
      </c>
      <c r="AK25" s="3">
        <v>1281</v>
      </c>
      <c r="AL25" s="3" t="str">
        <f>IFERROR(MID(VLOOKUP($B25,Seqs!$A:$B,2,0),AM25,1),"")</f>
        <v/>
      </c>
      <c r="AM25" s="3">
        <v>1316</v>
      </c>
      <c r="AN25" s="3" t="str">
        <f>IFERROR(MID(VLOOKUP($B25,Seqs!$A:$B,2,0),AO25,1),"")</f>
        <v/>
      </c>
      <c r="AO25" s="3">
        <v>1328</v>
      </c>
      <c r="AP25" s="3" t="str">
        <f>IFERROR(MID(VLOOKUP($B25,Seqs!$A:$B,2,0),AQ25,1),"")</f>
        <v/>
      </c>
      <c r="AQ25" s="3">
        <v>1365</v>
      </c>
      <c r="AR25" s="3" t="str">
        <f>IFERROR(MID(VLOOKUP($B25,Seqs!$A:$B,2,0),AS25,1),"")</f>
        <v/>
      </c>
      <c r="AS25" s="3">
        <v>1371</v>
      </c>
      <c r="AT25" s="3" t="str">
        <f>IFERROR(MID(VLOOKUP($B25,Seqs!$A:$B,2,0),AU25,1),"")</f>
        <v/>
      </c>
      <c r="AU25" s="3">
        <v>1400</v>
      </c>
      <c r="AV25" s="3" t="str">
        <f>IFERROR(MID(VLOOKUP($B25,Seqs!$A:$B,2,0),AW25,1),"")</f>
        <v/>
      </c>
      <c r="AW25" s="3" t="s">
        <v>23</v>
      </c>
      <c r="AX25" s="3" t="str">
        <f>IFERROR(MID(VLOOKUP($B25,Seqs!$A:$B,2,0),AY25,1),"")</f>
        <v/>
      </c>
      <c r="AY25" s="3" t="s">
        <v>23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244</v>
      </c>
      <c r="BD25" s="5" t="s">
        <v>23</v>
      </c>
      <c r="BE25" s="3" t="s">
        <v>1370</v>
      </c>
      <c r="BF25" s="118">
        <v>3.3</v>
      </c>
      <c r="BG25" s="49" t="s">
        <v>1</v>
      </c>
      <c r="BH25" s="49" t="s">
        <v>1</v>
      </c>
      <c r="BI25" s="1"/>
      <c r="BJ25" s="70" t="s">
        <v>1283</v>
      </c>
      <c r="BK25" s="57" t="s">
        <v>1283</v>
      </c>
      <c r="BL25" s="57" t="s">
        <v>1283</v>
      </c>
      <c r="BM25" s="57" t="s">
        <v>1283</v>
      </c>
      <c r="BN25" s="57" t="s">
        <v>1283</v>
      </c>
      <c r="BO25" s="57" t="s">
        <v>1283</v>
      </c>
      <c r="BP25" s="57" t="s">
        <v>1283</v>
      </c>
      <c r="BQ25" s="57" t="s">
        <v>1283</v>
      </c>
      <c r="BR25" s="57" t="s">
        <v>1283</v>
      </c>
      <c r="BS25" s="57" t="s">
        <v>1283</v>
      </c>
      <c r="BT25" s="57" t="s">
        <v>1283</v>
      </c>
      <c r="BU25" s="57" t="s">
        <v>1283</v>
      </c>
      <c r="BV25" s="70">
        <f t="shared" si="87"/>
        <v>1111</v>
      </c>
      <c r="BW25" s="71" t="str">
        <f t="shared" si="88"/>
        <v>-</v>
      </c>
      <c r="BX25" s="72">
        <f t="shared" si="89"/>
        <v>1147</v>
      </c>
      <c r="BY25" s="71">
        <f t="shared" si="90"/>
        <v>1178</v>
      </c>
      <c r="BZ25" s="72">
        <f t="shared" si="91"/>
        <v>1181</v>
      </c>
      <c r="CA25" s="71">
        <f t="shared" si="92"/>
        <v>1217</v>
      </c>
      <c r="CB25" s="72">
        <f t="shared" si="93"/>
        <v>1225</v>
      </c>
      <c r="CC25" s="71">
        <f t="shared" si="94"/>
        <v>1274</v>
      </c>
      <c r="CD25" s="72">
        <f t="shared" si="95"/>
        <v>1281</v>
      </c>
      <c r="CE25" s="71">
        <f t="shared" si="96"/>
        <v>1328</v>
      </c>
      <c r="CF25" s="72">
        <f t="shared" si="97"/>
        <v>1371</v>
      </c>
      <c r="CG25" s="71" t="str">
        <f t="shared" si="98"/>
        <v>-</v>
      </c>
      <c r="CH25" s="70">
        <f t="shared" si="99"/>
        <v>1141</v>
      </c>
      <c r="CI25" s="71" t="str">
        <f t="shared" si="100"/>
        <v>-</v>
      </c>
      <c r="CJ25" s="72">
        <f t="shared" si="101"/>
        <v>1177</v>
      </c>
      <c r="CK25" s="72">
        <f t="shared" si="102"/>
        <v>1180</v>
      </c>
      <c r="CL25" s="72">
        <f t="shared" si="103"/>
        <v>1216</v>
      </c>
      <c r="CM25" s="72">
        <f t="shared" si="104"/>
        <v>1224</v>
      </c>
      <c r="CN25" s="72">
        <f t="shared" si="105"/>
        <v>1250</v>
      </c>
      <c r="CO25" s="72">
        <f t="shared" si="106"/>
        <v>1276</v>
      </c>
      <c r="CP25" s="72">
        <f t="shared" si="107"/>
        <v>1316</v>
      </c>
      <c r="CQ25" s="72">
        <f t="shared" si="108"/>
        <v>1365</v>
      </c>
      <c r="CR25" s="72">
        <f t="shared" si="109"/>
        <v>1400</v>
      </c>
      <c r="CS25" s="72" t="str">
        <f t="shared" si="110"/>
        <v>-</v>
      </c>
      <c r="CT25" s="23" t="e">
        <f t="shared" si="111"/>
        <v>#VALUE!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 t="shared" si="84"/>
        <v>aa1r_human_5UEN</v>
      </c>
      <c r="B26" s="3" t="s">
        <v>138</v>
      </c>
      <c r="C26" s="3" t="s">
        <v>1385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>Q</v>
      </c>
      <c r="I26" s="23">
        <v>38</v>
      </c>
      <c r="J26" s="3" t="str">
        <f>IFERROR(MID(VLOOKUP($B26,Seqs!$A:$B,2,0),K26,1),"")</f>
        <v>R</v>
      </c>
      <c r="K26" s="23">
        <v>41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L</v>
      </c>
      <c r="AM26" s="3">
        <v>211</v>
      </c>
      <c r="AN26" s="3" t="str">
        <f>IFERROR(MID(VLOOKUP($B26,Seqs!$A:$B,2,0),AO26,1),"")</f>
        <v>G</v>
      </c>
      <c r="AO26" s="3">
        <v>220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F</v>
      </c>
      <c r="AY26" s="3">
        <v>307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85"/>
        <v>1</v>
      </c>
      <c r="BC26" s="23">
        <f t="shared" si="86"/>
        <v>262</v>
      </c>
      <c r="BD26" s="4" t="s">
        <v>1372</v>
      </c>
      <c r="BE26" s="3" t="s">
        <v>1370</v>
      </c>
      <c r="BF26" s="118">
        <v>3.2</v>
      </c>
      <c r="BG26" s="49" t="s">
        <v>1373</v>
      </c>
      <c r="BH26" s="49" t="s">
        <v>1373</v>
      </c>
      <c r="BI26" s="1"/>
      <c r="BJ26" s="70" t="s">
        <v>1283</v>
      </c>
      <c r="BK26" s="57" t="s">
        <v>1283</v>
      </c>
      <c r="BL26" s="57" t="s">
        <v>1283</v>
      </c>
      <c r="BM26" s="57" t="s">
        <v>1283</v>
      </c>
      <c r="BN26" s="57" t="s">
        <v>1283</v>
      </c>
      <c r="BO26" s="57" t="s">
        <v>1283</v>
      </c>
      <c r="BP26" s="57" t="s">
        <v>1283</v>
      </c>
      <c r="BQ26" s="57" t="s">
        <v>1283</v>
      </c>
      <c r="BR26" s="57" t="s">
        <v>1283</v>
      </c>
      <c r="BS26" s="57" t="s">
        <v>1283</v>
      </c>
      <c r="BT26" s="57" t="s">
        <v>1283</v>
      </c>
      <c r="BU26" s="57" t="s">
        <v>1283</v>
      </c>
      <c r="BV26" s="70">
        <f t="shared" si="87"/>
        <v>6</v>
      </c>
      <c r="BW26" s="71">
        <f t="shared" si="88"/>
        <v>38</v>
      </c>
      <c r="BX26" s="72">
        <f t="shared" si="89"/>
        <v>42</v>
      </c>
      <c r="BY26" s="71">
        <f t="shared" si="90"/>
        <v>73</v>
      </c>
      <c r="BZ26" s="72">
        <f t="shared" si="91"/>
        <v>76</v>
      </c>
      <c r="CA26" s="71">
        <f t="shared" si="92"/>
        <v>112</v>
      </c>
      <c r="CB26" s="72">
        <f t="shared" si="93"/>
        <v>120</v>
      </c>
      <c r="CC26" s="71">
        <f t="shared" si="94"/>
        <v>169</v>
      </c>
      <c r="CD26" s="72">
        <f t="shared" si="95"/>
        <v>176</v>
      </c>
      <c r="CE26" s="71">
        <f t="shared" si="96"/>
        <v>220</v>
      </c>
      <c r="CF26" s="72">
        <f t="shared" si="97"/>
        <v>266</v>
      </c>
      <c r="CG26" s="71">
        <f t="shared" si="98"/>
        <v>292</v>
      </c>
      <c r="CH26" s="70">
        <f t="shared" si="99"/>
        <v>37</v>
      </c>
      <c r="CI26" s="71">
        <f t="shared" si="100"/>
        <v>41</v>
      </c>
      <c r="CJ26" s="72">
        <f t="shared" si="101"/>
        <v>72</v>
      </c>
      <c r="CK26" s="72">
        <f t="shared" si="102"/>
        <v>75</v>
      </c>
      <c r="CL26" s="72">
        <f t="shared" si="103"/>
        <v>111</v>
      </c>
      <c r="CM26" s="72">
        <f t="shared" si="104"/>
        <v>119</v>
      </c>
      <c r="CN26" s="72">
        <f t="shared" si="105"/>
        <v>145</v>
      </c>
      <c r="CO26" s="72">
        <f t="shared" si="106"/>
        <v>171</v>
      </c>
      <c r="CP26" s="72">
        <f t="shared" si="107"/>
        <v>211</v>
      </c>
      <c r="CQ26" s="72">
        <f t="shared" si="108"/>
        <v>260</v>
      </c>
      <c r="CR26" s="72">
        <f t="shared" si="109"/>
        <v>291</v>
      </c>
      <c r="CS26" s="72">
        <f t="shared" si="110"/>
        <v>307</v>
      </c>
      <c r="CT26" s="23">
        <f t="shared" si="111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>CONCATENATE(B27,"_",C27)</f>
        <v>aa1r_human_6D9H</v>
      </c>
      <c r="B27" s="3" t="s">
        <v>138</v>
      </c>
      <c r="C27" s="3" t="s">
        <v>1499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37</v>
      </c>
      <c r="H27" s="3" t="str">
        <f>IFERROR(MID(VLOOKUP($B27,Seqs!$A:$B,2,0),I27,1),"")</f>
        <v/>
      </c>
      <c r="I27" s="23" t="s">
        <v>23</v>
      </c>
      <c r="J27" s="3" t="str">
        <f>IFERROR(MID(VLOOKUP($B27,Seqs!$A:$B,2,0),K27,1),"")</f>
        <v/>
      </c>
      <c r="K27" s="23" t="s">
        <v>23</v>
      </c>
      <c r="L27" s="3" t="str">
        <f>IFERROR(MID(VLOOKUP($B27,Seqs!$A:$B,2,0),M27,1),"")</f>
        <v>D</v>
      </c>
      <c r="M27" s="3">
        <v>42</v>
      </c>
      <c r="N27" s="3" t="str">
        <f>IFERROR(MID(VLOOKUP($B27,Seqs!$A:$B,2,0),O27,1),"")</f>
        <v>G</v>
      </c>
      <c r="O27" s="3">
        <v>72</v>
      </c>
      <c r="P27" s="3" t="str">
        <f>IFERROR(MID(VLOOKUP($B27,Seqs!$A:$B,2,0),Q27,1),"")</f>
        <v>P</v>
      </c>
      <c r="Q27" s="3">
        <v>73</v>
      </c>
      <c r="R27" s="3" t="str">
        <f>IFERROR(MID(VLOOKUP($B27,Seqs!$A:$B,2,0),S27,1),"")</f>
        <v>T</v>
      </c>
      <c r="S27" s="3">
        <v>75</v>
      </c>
      <c r="T27" s="3" t="str">
        <f>IFERROR(MID(VLOOKUP($B27,Seqs!$A:$B,2,0),U27,1),"")</f>
        <v>Y</v>
      </c>
      <c r="U27" s="3">
        <v>76</v>
      </c>
      <c r="V27" s="3" t="str">
        <f>IFERROR(MID(VLOOKUP($B27,Seqs!$A:$B,2,0),W27,1),"")</f>
        <v>I</v>
      </c>
      <c r="W27" s="3">
        <v>111</v>
      </c>
      <c r="X27" s="3" t="str">
        <f>IFERROR(MID(VLOOKUP($B27,Seqs!$A:$B,2,0),Y27,1),"")</f>
        <v>P</v>
      </c>
      <c r="Y27" s="3">
        <v>112</v>
      </c>
      <c r="Z27" s="3" t="str">
        <f>IFERROR(MID(VLOOKUP($B27,Seqs!$A:$B,2,0),AA27,1),"")</f>
        <v>V</v>
      </c>
      <c r="AA27" s="3">
        <v>119</v>
      </c>
      <c r="AB27" s="3" t="str">
        <f>IFERROR(MID(VLOOKUP($B27,Seqs!$A:$B,2,0),AC27,1),"")</f>
        <v>T</v>
      </c>
      <c r="AC27" s="3">
        <v>120</v>
      </c>
      <c r="AD27" s="3" t="str">
        <f>IFERROR(MID(VLOOKUP($B27,Seqs!$A:$B,2,0),AE27,1),"")</f>
        <v>G</v>
      </c>
      <c r="AE27" s="3">
        <v>145</v>
      </c>
      <c r="AF27" s="3" t="str">
        <f>IFERROR(MID(VLOOKUP($B27,Seqs!$A:$B,2,0),AG27,1),"")</f>
        <v>C</v>
      </c>
      <c r="AG27" s="3">
        <v>169</v>
      </c>
      <c r="AH27" s="3" t="str">
        <f>IFERROR(MID(VLOOKUP($B27,Seqs!$A:$B,2,0),AI27,1),"")</f>
        <v>F</v>
      </c>
      <c r="AI27" s="3">
        <v>171</v>
      </c>
      <c r="AJ27" s="3" t="str">
        <f>IFERROR(MID(VLOOKUP($B27,Seqs!$A:$B,2,0),AK27,1),"")</f>
        <v>S</v>
      </c>
      <c r="AK27" s="3">
        <v>176</v>
      </c>
      <c r="AL27" s="3" t="str">
        <f>IFERROR(MID(VLOOKUP($B27,Seqs!$A:$B,2,0),AM27,1),"")</f>
        <v>K</v>
      </c>
      <c r="AM27" s="3">
        <v>213</v>
      </c>
      <c r="AN27" s="3" t="str">
        <f>IFERROR(MID(VLOOKUP($B27,Seqs!$A:$B,2,0),AO27,1),"")</f>
        <v>Q</v>
      </c>
      <c r="AO27" s="3">
        <v>223</v>
      </c>
      <c r="AP27" s="3" t="str">
        <f>IFERROR(MID(VLOOKUP($B27,Seqs!$A:$B,2,0),AQ27,1),"")</f>
        <v>C</v>
      </c>
      <c r="AQ27" s="3">
        <v>260</v>
      </c>
      <c r="AR27" s="3" t="str">
        <f>IFERROR(MID(VLOOKUP($B27,Seqs!$A:$B,2,0),AS27,1),"")</f>
        <v>S</v>
      </c>
      <c r="AS27" s="3">
        <v>267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K</v>
      </c>
      <c r="AY27" s="3">
        <v>301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>AND(E27&lt;G27,OR(G27&lt;I27,I27="-"),OR(I27&lt;K27,I27="-"),OR(K27&lt;M27,K27="-"),M27&lt;O27,OR(O27&lt;Q27,Q27="-"),OR(Q27&lt;S27,Q27="-"),OR(S27&lt;U27,S27="-"),U27&lt;W27,OR(W27&lt;Y27,Y27="-"),OR(Y27&lt;AA27,Y27="-"),OR(AA27&lt;AC27,AA27="-"),AC27&lt;AE27,OR(AE27&lt;AG27,AG27="-"),OR(AG27&lt;AI27,AG27="-"),OR(AI27&lt;AK27,AI27="-"),AK27&lt;AM27,AM27&lt;AO27,AO27&lt;AQ27,AQ27&lt;AS27,AS27&lt;AU27,OR(AU27&lt;AW27,AW27="-"),OR(AW27&lt;AY27,AW27="-"))</f>
        <v>1</v>
      </c>
      <c r="BC27" s="23">
        <f>_xlfn.AGGREGATE(9,6,CH27:CS27)-_xlfn.AGGREGATE(9,6,BV27:CG27)+12</f>
        <v>251</v>
      </c>
      <c r="BD27" s="4" t="s">
        <v>1371</v>
      </c>
      <c r="BE27" s="3" t="s">
        <v>1287</v>
      </c>
      <c r="BF27" s="118">
        <v>3.6</v>
      </c>
      <c r="BG27" s="49" t="s">
        <v>1418</v>
      </c>
      <c r="BH27" s="49" t="s">
        <v>1418</v>
      </c>
      <c r="BI27" s="1"/>
      <c r="BJ27" s="70" t="s">
        <v>1283</v>
      </c>
      <c r="BK27" s="57" t="s">
        <v>1283</v>
      </c>
      <c r="BL27" s="57" t="s">
        <v>1283</v>
      </c>
      <c r="BM27" s="57" t="s">
        <v>1283</v>
      </c>
      <c r="BN27" s="57" t="s">
        <v>1283</v>
      </c>
      <c r="BO27" s="57" t="s">
        <v>1283</v>
      </c>
      <c r="BP27" s="57" t="s">
        <v>1283</v>
      </c>
      <c r="BQ27" s="57" t="s">
        <v>1283</v>
      </c>
      <c r="BR27" s="57" t="s">
        <v>1283</v>
      </c>
      <c r="BS27" s="57" t="s">
        <v>1283</v>
      </c>
      <c r="BT27" s="57" t="s">
        <v>1283</v>
      </c>
      <c r="BU27" s="57" t="s">
        <v>1283</v>
      </c>
      <c r="BV27" s="70">
        <f>E27</f>
        <v>6</v>
      </c>
      <c r="BW27" s="71" t="str">
        <f>I27</f>
        <v>-</v>
      </c>
      <c r="BX27" s="72">
        <f>M27</f>
        <v>42</v>
      </c>
      <c r="BY27" s="71">
        <f>Q27</f>
        <v>73</v>
      </c>
      <c r="BZ27" s="72">
        <f>U27</f>
        <v>76</v>
      </c>
      <c r="CA27" s="71">
        <f>Y27</f>
        <v>112</v>
      </c>
      <c r="CB27" s="72">
        <f>AC27</f>
        <v>120</v>
      </c>
      <c r="CC27" s="71">
        <f>AG27</f>
        <v>169</v>
      </c>
      <c r="CD27" s="72">
        <f>AK27</f>
        <v>176</v>
      </c>
      <c r="CE27" s="71">
        <f>AO27</f>
        <v>223</v>
      </c>
      <c r="CF27" s="72">
        <f>AS27</f>
        <v>267</v>
      </c>
      <c r="CG27" s="71">
        <f>AW27</f>
        <v>292</v>
      </c>
      <c r="CH27" s="70">
        <f>G27</f>
        <v>37</v>
      </c>
      <c r="CI27" s="71" t="str">
        <f>K27</f>
        <v>-</v>
      </c>
      <c r="CJ27" s="72">
        <f>O27</f>
        <v>72</v>
      </c>
      <c r="CK27" s="72">
        <f>S27</f>
        <v>75</v>
      </c>
      <c r="CL27" s="72">
        <f>W27</f>
        <v>111</v>
      </c>
      <c r="CM27" s="72">
        <f>AA27</f>
        <v>119</v>
      </c>
      <c r="CN27" s="72">
        <f>AE27</f>
        <v>145</v>
      </c>
      <c r="CO27" s="72">
        <f>AI27</f>
        <v>171</v>
      </c>
      <c r="CP27" s="72">
        <f>AM27</f>
        <v>213</v>
      </c>
      <c r="CQ27" s="72">
        <f>AQ27</f>
        <v>260</v>
      </c>
      <c r="CR27" s="72">
        <f>AU27</f>
        <v>291</v>
      </c>
      <c r="CS27" s="72">
        <f>AY27</f>
        <v>301</v>
      </c>
      <c r="CT27" s="23" t="e">
        <f>M27-K27</f>
        <v>#VALUE!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aa2ar_human__wt</v>
      </c>
      <c r="B28" s="3" t="s">
        <v>139</v>
      </c>
      <c r="C28" s="3" t="s">
        <v>100</v>
      </c>
      <c r="D28" s="3" t="str">
        <f>IFERROR(MID(VLOOKUP($B28,Seqs!$A:$B,2,0),E28,1),"")</f>
        <v>M</v>
      </c>
      <c r="E28" s="3">
        <v>1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F</v>
      </c>
      <c r="AY28" s="3">
        <v>314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ref="BC28:BC38" si="224">_xlfn.AGGREGATE(9,6,CH28:CS28)-_xlfn.AGGREGATE(9,6,BV28:CG28)+12</f>
        <v>276</v>
      </c>
      <c r="BD28" s="34" t="s">
        <v>23</v>
      </c>
      <c r="BE28" s="3" t="s">
        <v>23</v>
      </c>
      <c r="BF28" s="118" t="s">
        <v>23</v>
      </c>
      <c r="BG28" s="49" t="s">
        <v>1368</v>
      </c>
      <c r="BH28" s="49" t="s">
        <v>1373</v>
      </c>
      <c r="BI28" s="1"/>
      <c r="BJ28" s="70" t="s">
        <v>1283</v>
      </c>
      <c r="BK28" s="57" t="s">
        <v>1283</v>
      </c>
      <c r="BL28" s="57" t="s">
        <v>1283</v>
      </c>
      <c r="BM28" s="57" t="s">
        <v>1283</v>
      </c>
      <c r="BN28" s="57" t="s">
        <v>1283</v>
      </c>
      <c r="BO28" s="57" t="s">
        <v>1283</v>
      </c>
      <c r="BP28" s="57" t="s">
        <v>1283</v>
      </c>
      <c r="BQ28" s="57" t="s">
        <v>1283</v>
      </c>
      <c r="BR28" s="57" t="s">
        <v>1283</v>
      </c>
      <c r="BS28" s="57" t="s">
        <v>1283</v>
      </c>
      <c r="BT28" s="57" t="s">
        <v>1283</v>
      </c>
      <c r="BU28" s="57" t="s">
        <v>1283</v>
      </c>
      <c r="BV28" s="70">
        <f t="shared" si="3"/>
        <v>1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213</v>
      </c>
      <c r="CQ28" s="72">
        <f t="shared" si="24"/>
        <v>259</v>
      </c>
      <c r="CR28" s="72">
        <f t="shared" si="25"/>
        <v>291</v>
      </c>
      <c r="CS28" s="72">
        <f t="shared" si="26"/>
        <v>314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aa2ar_human_2YDO</v>
      </c>
      <c r="B29" s="3" t="s">
        <v>139</v>
      </c>
      <c r="C29" s="3" t="s">
        <v>1024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L</v>
      </c>
      <c r="AO29" s="3">
        <v>225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264</v>
      </c>
      <c r="BD29" s="4" t="s">
        <v>23</v>
      </c>
      <c r="BE29" s="3" t="s">
        <v>1424</v>
      </c>
      <c r="BF29" s="118">
        <v>3</v>
      </c>
      <c r="BG29" s="49" t="s">
        <v>1373</v>
      </c>
      <c r="BH29" s="49" t="s">
        <v>1373</v>
      </c>
      <c r="BI29" s="1"/>
      <c r="BJ29" s="70" t="s">
        <v>1283</v>
      </c>
      <c r="BK29" s="57" t="s">
        <v>1283</v>
      </c>
      <c r="BL29" s="57" t="s">
        <v>1283</v>
      </c>
      <c r="BM29" s="57" t="s">
        <v>1283</v>
      </c>
      <c r="BN29" s="57" t="s">
        <v>1283</v>
      </c>
      <c r="BO29" s="57" t="s">
        <v>1283</v>
      </c>
      <c r="BP29" s="57" t="s">
        <v>1283</v>
      </c>
      <c r="BQ29" s="57" t="s">
        <v>1283</v>
      </c>
      <c r="BR29" s="57" t="s">
        <v>1283</v>
      </c>
      <c r="BS29" s="57" t="s">
        <v>1283</v>
      </c>
      <c r="BT29" s="57" t="s">
        <v>1283</v>
      </c>
      <c r="BU29" s="57" t="s">
        <v>1283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225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aa2ar_human_2YDV</v>
      </c>
      <c r="B30" s="3" t="s">
        <v>139</v>
      </c>
      <c r="C30" s="3" t="s">
        <v>80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Q</v>
      </c>
      <c r="AM30" s="3">
        <v>210</v>
      </c>
      <c r="AN30" s="3" t="str">
        <f>IFERROR(MID(VLOOKUP($B30,Seqs!$A:$B,2,0),AO30,1),"")</f>
        <v>T</v>
      </c>
      <c r="AO30" s="3">
        <v>224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A</v>
      </c>
      <c r="AY30" s="3">
        <v>317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265</v>
      </c>
      <c r="BD30" s="4" t="s">
        <v>23</v>
      </c>
      <c r="BE30" s="3" t="s">
        <v>1424</v>
      </c>
      <c r="BF30" s="118">
        <v>2.6</v>
      </c>
      <c r="BG30" s="49" t="s">
        <v>1373</v>
      </c>
      <c r="BH30" s="49" t="s">
        <v>1373</v>
      </c>
      <c r="BI30" s="1"/>
      <c r="BJ30" s="70" t="s">
        <v>1283</v>
      </c>
      <c r="BK30" s="57" t="s">
        <v>1283</v>
      </c>
      <c r="BL30" s="57" t="s">
        <v>1283</v>
      </c>
      <c r="BM30" s="57" t="s">
        <v>1283</v>
      </c>
      <c r="BN30" s="57" t="s">
        <v>1283</v>
      </c>
      <c r="BO30" s="57" t="s">
        <v>1283</v>
      </c>
      <c r="BP30" s="57" t="s">
        <v>1283</v>
      </c>
      <c r="BQ30" s="57" t="s">
        <v>1283</v>
      </c>
      <c r="BR30" s="57" t="s">
        <v>1283</v>
      </c>
      <c r="BS30" s="57" t="s">
        <v>1283</v>
      </c>
      <c r="BT30" s="57" t="s">
        <v>1283</v>
      </c>
      <c r="BU30" s="57" t="s">
        <v>1283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224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210</v>
      </c>
      <c r="CQ30" s="72">
        <f t="shared" si="24"/>
        <v>259</v>
      </c>
      <c r="CR30" s="72">
        <f t="shared" si="25"/>
        <v>291</v>
      </c>
      <c r="CS30" s="72">
        <f t="shared" si="26"/>
        <v>317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aa2ar_human_3QAK</v>
      </c>
      <c r="B31" s="3" t="s">
        <v>139</v>
      </c>
      <c r="C31" s="3" t="s">
        <v>1029</v>
      </c>
      <c r="D31" s="3" t="str">
        <f>IFERROR(MID(VLOOKUP($B31,Seqs!$A:$B,2,0),E31,1),"")</f>
        <v>G</v>
      </c>
      <c r="E31" s="3">
        <v>5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A</v>
      </c>
      <c r="AM31" s="3">
        <v>204</v>
      </c>
      <c r="AN31" s="3" t="str">
        <f>IFERROR(MID(VLOOKUP($B31,Seqs!$A:$B,2,0),AO31,1),"")</f>
        <v>Q</v>
      </c>
      <c r="AO31" s="3">
        <v>226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L</v>
      </c>
      <c r="AY31" s="3">
        <v>308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250</v>
      </c>
      <c r="BD31" s="4" t="s">
        <v>23</v>
      </c>
      <c r="BE31" s="3" t="s">
        <v>1424</v>
      </c>
      <c r="BF31" s="118">
        <v>2.71</v>
      </c>
      <c r="BG31" s="49" t="s">
        <v>1373</v>
      </c>
      <c r="BH31" s="49" t="s">
        <v>1373</v>
      </c>
      <c r="BI31" s="1"/>
      <c r="BJ31" s="70" t="s">
        <v>1283</v>
      </c>
      <c r="BK31" s="57" t="s">
        <v>1283</v>
      </c>
      <c r="BL31" s="57" t="s">
        <v>1283</v>
      </c>
      <c r="BM31" s="57" t="s">
        <v>1283</v>
      </c>
      <c r="BN31" s="57" t="s">
        <v>1283</v>
      </c>
      <c r="BO31" s="57" t="s">
        <v>1283</v>
      </c>
      <c r="BP31" s="57" t="s">
        <v>1283</v>
      </c>
      <c r="BQ31" s="57" t="s">
        <v>1283</v>
      </c>
      <c r="BR31" s="57" t="s">
        <v>1283</v>
      </c>
      <c r="BS31" s="57" t="s">
        <v>1283</v>
      </c>
      <c r="BT31" s="57" t="s">
        <v>1283</v>
      </c>
      <c r="BU31" s="57" t="s">
        <v>1283</v>
      </c>
      <c r="BV31" s="70">
        <f t="shared" si="3"/>
        <v>5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226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204</v>
      </c>
      <c r="CQ31" s="72">
        <f t="shared" si="24"/>
        <v>259</v>
      </c>
      <c r="CR31" s="72">
        <f t="shared" si="25"/>
        <v>291</v>
      </c>
      <c r="CS31" s="72">
        <f t="shared" si="26"/>
        <v>308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aa2ar_human_3REY</v>
      </c>
      <c r="B32" s="3" t="s">
        <v>139</v>
      </c>
      <c r="C32" s="3" t="s">
        <v>83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210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258</v>
      </c>
      <c r="BD32" s="4" t="s">
        <v>23</v>
      </c>
      <c r="BE32" s="3" t="s">
        <v>1424</v>
      </c>
      <c r="BF32" s="118">
        <v>3.31</v>
      </c>
      <c r="BG32" s="49" t="s">
        <v>1373</v>
      </c>
      <c r="BH32" s="49" t="s">
        <v>1373</v>
      </c>
      <c r="BI32" s="1"/>
      <c r="BJ32" s="70" t="s">
        <v>1283</v>
      </c>
      <c r="BK32" s="57" t="s">
        <v>1283</v>
      </c>
      <c r="BL32" s="57" t="s">
        <v>1283</v>
      </c>
      <c r="BM32" s="57" t="s">
        <v>1283</v>
      </c>
      <c r="BN32" s="57" t="s">
        <v>1283</v>
      </c>
      <c r="BO32" s="57" t="s">
        <v>1283</v>
      </c>
      <c r="BP32" s="57" t="s">
        <v>1283</v>
      </c>
      <c r="BQ32" s="57" t="s">
        <v>1283</v>
      </c>
      <c r="BR32" s="57" t="s">
        <v>1283</v>
      </c>
      <c r="BS32" s="57" t="s">
        <v>1283</v>
      </c>
      <c r="BT32" s="57" t="s">
        <v>1283</v>
      </c>
      <c r="BU32" s="57" t="s">
        <v>1283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210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aa2ar_human_3RFM</v>
      </c>
      <c r="B33" s="3" t="s">
        <v>139</v>
      </c>
      <c r="C33" s="3" t="s">
        <v>1030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1370</v>
      </c>
      <c r="BF33" s="118">
        <v>3.6</v>
      </c>
      <c r="BG33" s="49" t="s">
        <v>1373</v>
      </c>
      <c r="BH33" s="49" t="s">
        <v>1373</v>
      </c>
      <c r="BI33" s="1"/>
      <c r="BJ33" s="70" t="s">
        <v>1283</v>
      </c>
      <c r="BK33" s="57" t="s">
        <v>1283</v>
      </c>
      <c r="BL33" s="57" t="s">
        <v>1283</v>
      </c>
      <c r="BM33" s="57" t="s">
        <v>1283</v>
      </c>
      <c r="BN33" s="57" t="s">
        <v>1283</v>
      </c>
      <c r="BO33" s="57" t="s">
        <v>1283</v>
      </c>
      <c r="BP33" s="57" t="s">
        <v>1283</v>
      </c>
      <c r="BQ33" s="57" t="s">
        <v>1283</v>
      </c>
      <c r="BR33" s="57" t="s">
        <v>1283</v>
      </c>
      <c r="BS33" s="57" t="s">
        <v>1283</v>
      </c>
      <c r="BT33" s="57" t="s">
        <v>1283</v>
      </c>
      <c r="BU33" s="57" t="s">
        <v>1283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x14ac:dyDescent="0.2">
      <c r="A34" s="3" t="str">
        <f t="shared" si="0"/>
        <v>aa2ar_human_3UZA</v>
      </c>
      <c r="B34" s="3" t="s">
        <v>139</v>
      </c>
      <c r="C34" s="3" t="s">
        <v>1031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1370</v>
      </c>
      <c r="BF34" s="118">
        <v>3.27</v>
      </c>
      <c r="BG34" s="49" t="s">
        <v>1373</v>
      </c>
      <c r="BH34" s="49" t="s">
        <v>1373</v>
      </c>
      <c r="BI34" s="1"/>
      <c r="BJ34" s="70" t="s">
        <v>1283</v>
      </c>
      <c r="BK34" s="57" t="s">
        <v>1283</v>
      </c>
      <c r="BL34" s="57" t="s">
        <v>1283</v>
      </c>
      <c r="BM34" s="57" t="s">
        <v>1283</v>
      </c>
      <c r="BN34" s="57" t="s">
        <v>1283</v>
      </c>
      <c r="BO34" s="57" t="s">
        <v>1283</v>
      </c>
      <c r="BP34" s="57" t="s">
        <v>1283</v>
      </c>
      <c r="BQ34" s="57" t="s">
        <v>1283</v>
      </c>
      <c r="BR34" s="57" t="s">
        <v>1283</v>
      </c>
      <c r="BS34" s="57" t="s">
        <v>1283</v>
      </c>
      <c r="BT34" s="57" t="s">
        <v>1283</v>
      </c>
      <c r="BU34" s="57" t="s">
        <v>1283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30" s="6" customFormat="1" x14ac:dyDescent="0.2">
      <c r="A35" s="3" t="str">
        <f t="shared" si="0"/>
        <v>aa2ar_human_3UZC</v>
      </c>
      <c r="B35" s="3" t="s">
        <v>139</v>
      </c>
      <c r="C35" s="3" t="s">
        <v>1032</v>
      </c>
      <c r="D35" s="3" t="str">
        <f>IFERROR(MID(VLOOKUP($B35,Seqs!$A:$B,2,0),E35,1),"")</f>
        <v>S</v>
      </c>
      <c r="E35" s="3">
        <v>7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S</v>
      </c>
      <c r="AM35" s="3">
        <v>213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261</v>
      </c>
      <c r="BD35" s="4" t="s">
        <v>23</v>
      </c>
      <c r="BE35" s="3" t="s">
        <v>1370</v>
      </c>
      <c r="BF35" s="118">
        <v>3.34</v>
      </c>
      <c r="BG35" s="49" t="s">
        <v>1373</v>
      </c>
      <c r="BH35" s="49" t="s">
        <v>1373</v>
      </c>
      <c r="BI35" s="1"/>
      <c r="BJ35" s="70" t="s">
        <v>1283</v>
      </c>
      <c r="BK35" s="57" t="s">
        <v>1283</v>
      </c>
      <c r="BL35" s="57" t="s">
        <v>1283</v>
      </c>
      <c r="BM35" s="57" t="s">
        <v>1283</v>
      </c>
      <c r="BN35" s="57" t="s">
        <v>1283</v>
      </c>
      <c r="BO35" s="57" t="s">
        <v>1283</v>
      </c>
      <c r="BP35" s="57" t="s">
        <v>1283</v>
      </c>
      <c r="BQ35" s="57" t="s">
        <v>1283</v>
      </c>
      <c r="BR35" s="57" t="s">
        <v>1283</v>
      </c>
      <c r="BS35" s="57" t="s">
        <v>1283</v>
      </c>
      <c r="BT35" s="57" t="s">
        <v>1283</v>
      </c>
      <c r="BU35" s="57" t="s">
        <v>1283</v>
      </c>
      <c r="BV35" s="70">
        <f t="shared" si="3"/>
        <v>7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219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213</v>
      </c>
      <c r="CQ35" s="72">
        <f t="shared" si="24"/>
        <v>259</v>
      </c>
      <c r="CR35" s="72">
        <f t="shared" si="25"/>
        <v>291</v>
      </c>
      <c r="CS35" s="72">
        <f t="shared" si="26"/>
        <v>305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s="6" customFormat="1" x14ac:dyDescent="0.2">
      <c r="A36" s="3" t="str">
        <f t="shared" si="0"/>
        <v>aa2ar_human_3VG9</v>
      </c>
      <c r="B36" s="3" t="s">
        <v>139</v>
      </c>
      <c r="C36" s="3" t="s">
        <v>1099</v>
      </c>
      <c r="D36" s="3" t="str">
        <f>IFERROR(MID(VLOOKUP($B36,Seqs!$A:$B,2,0),E36,1),"")</f>
        <v>S</v>
      </c>
      <c r="E36" s="3">
        <v>6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214</v>
      </c>
      <c r="AN36" s="3" t="str">
        <f>IFERROR(MID(VLOOKUP($B36,Seqs!$A:$B,2,0),AO36,1),"")</f>
        <v>A</v>
      </c>
      <c r="AO36" s="3">
        <v>221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Q</v>
      </c>
      <c r="AY36" s="3">
        <v>311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267</v>
      </c>
      <c r="BD36" s="4" t="s">
        <v>1372</v>
      </c>
      <c r="BE36" s="3" t="s">
        <v>1370</v>
      </c>
      <c r="BF36" s="118">
        <v>2.7</v>
      </c>
      <c r="BG36" s="49" t="s">
        <v>1373</v>
      </c>
      <c r="BH36" s="49" t="s">
        <v>1373</v>
      </c>
      <c r="BI36" s="1"/>
      <c r="BJ36" s="70" t="s">
        <v>1283</v>
      </c>
      <c r="BK36" s="57" t="s">
        <v>1283</v>
      </c>
      <c r="BL36" s="57" t="s">
        <v>1283</v>
      </c>
      <c r="BM36" s="57" t="s">
        <v>1283</v>
      </c>
      <c r="BN36" s="57" t="s">
        <v>1283</v>
      </c>
      <c r="BO36" s="57" t="s">
        <v>1283</v>
      </c>
      <c r="BP36" s="57" t="s">
        <v>1283</v>
      </c>
      <c r="BQ36" s="57" t="s">
        <v>1283</v>
      </c>
      <c r="BR36" s="57" t="s">
        <v>1283</v>
      </c>
      <c r="BS36" s="57" t="s">
        <v>1283</v>
      </c>
      <c r="BT36" s="57" t="s">
        <v>1283</v>
      </c>
      <c r="BU36" s="57" t="s">
        <v>1283</v>
      </c>
      <c r="BV36" s="70">
        <f t="shared" si="3"/>
        <v>6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221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214</v>
      </c>
      <c r="CQ36" s="72">
        <f t="shared" si="24"/>
        <v>259</v>
      </c>
      <c r="CR36" s="72">
        <f t="shared" si="25"/>
        <v>291</v>
      </c>
      <c r="CS36" s="72">
        <f t="shared" si="26"/>
        <v>311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</row>
    <row r="37" spans="1:1030" x14ac:dyDescent="0.2">
      <c r="A37" s="3" t="str">
        <f t="shared" si="0"/>
        <v>aa2ar_human_4EIY</v>
      </c>
      <c r="B37" s="3" t="s">
        <v>139</v>
      </c>
      <c r="C37" s="3" t="s">
        <v>81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Q</v>
      </c>
      <c r="AM37" s="3">
        <v>207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262</v>
      </c>
      <c r="BD37" s="4" t="s">
        <v>23</v>
      </c>
      <c r="BE37" s="3" t="s">
        <v>1370</v>
      </c>
      <c r="BF37" s="118">
        <v>1.8</v>
      </c>
      <c r="BG37" s="49" t="s">
        <v>1373</v>
      </c>
      <c r="BH37" s="49" t="s">
        <v>1373</v>
      </c>
      <c r="BI37" s="1"/>
      <c r="BJ37" s="70" t="s">
        <v>1283</v>
      </c>
      <c r="BK37" s="57" t="s">
        <v>1283</v>
      </c>
      <c r="BL37" s="57" t="s">
        <v>1283</v>
      </c>
      <c r="BM37" s="57" t="s">
        <v>1283</v>
      </c>
      <c r="BN37" s="57" t="s">
        <v>1283</v>
      </c>
      <c r="BO37" s="57" t="s">
        <v>1283</v>
      </c>
      <c r="BP37" s="57" t="s">
        <v>1283</v>
      </c>
      <c r="BQ37" s="57" t="s">
        <v>1283</v>
      </c>
      <c r="BR37" s="57" t="s">
        <v>1283</v>
      </c>
      <c r="BS37" s="57" t="s">
        <v>1283</v>
      </c>
      <c r="BT37" s="57" t="s">
        <v>1283</v>
      </c>
      <c r="BU37" s="57" t="s">
        <v>1283</v>
      </c>
      <c r="BV37" s="70">
        <f t="shared" si="3"/>
        <v>2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207</v>
      </c>
      <c r="CQ37" s="72">
        <f t="shared" si="24"/>
        <v>259</v>
      </c>
      <c r="CR37" s="72">
        <f t="shared" si="25"/>
        <v>291</v>
      </c>
      <c r="CS37" s="72">
        <f t="shared" si="26"/>
        <v>307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aa2ar_human_4UHR</v>
      </c>
      <c r="B38" s="3" t="s">
        <v>139</v>
      </c>
      <c r="C38" s="3" t="s">
        <v>1050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S</v>
      </c>
      <c r="AM38" s="3">
        <v>213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311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224"/>
        <v>268</v>
      </c>
      <c r="BD38" s="2" t="s">
        <v>1425</v>
      </c>
      <c r="BE38" s="3" t="s">
        <v>1424</v>
      </c>
      <c r="BF38" s="118">
        <v>2.6</v>
      </c>
      <c r="BG38" s="49" t="s">
        <v>1373</v>
      </c>
      <c r="BH38" s="49" t="s">
        <v>1373</v>
      </c>
      <c r="BI38" s="1"/>
      <c r="BJ38" s="70" t="s">
        <v>1283</v>
      </c>
      <c r="BK38" s="57" t="s">
        <v>1283</v>
      </c>
      <c r="BL38" s="57" t="s">
        <v>1283</v>
      </c>
      <c r="BM38" s="57" t="s">
        <v>1283</v>
      </c>
      <c r="BN38" s="57" t="s">
        <v>1283</v>
      </c>
      <c r="BO38" s="57" t="s">
        <v>1283</v>
      </c>
      <c r="BP38" s="57" t="s">
        <v>1283</v>
      </c>
      <c r="BQ38" s="57" t="s">
        <v>1283</v>
      </c>
      <c r="BR38" s="57" t="s">
        <v>1283</v>
      </c>
      <c r="BS38" s="57" t="s">
        <v>1283</v>
      </c>
      <c r="BT38" s="57" t="s">
        <v>1283</v>
      </c>
      <c r="BU38" s="57" t="s">
        <v>1283</v>
      </c>
      <c r="BV38" s="70">
        <f t="shared" si="3"/>
        <v>6</v>
      </c>
      <c r="BW38" s="71">
        <f t="shared" si="4"/>
        <v>35</v>
      </c>
      <c r="BX38" s="72">
        <f t="shared" si="5"/>
        <v>39</v>
      </c>
      <c r="BY38" s="71">
        <f t="shared" si="6"/>
        <v>70</v>
      </c>
      <c r="BZ38" s="72">
        <f t="shared" si="7"/>
        <v>73</v>
      </c>
      <c r="CA38" s="71">
        <f t="shared" si="8"/>
        <v>109</v>
      </c>
      <c r="CB38" s="72">
        <f t="shared" si="9"/>
        <v>117</v>
      </c>
      <c r="CC38" s="71">
        <f t="shared" si="10"/>
        <v>166</v>
      </c>
      <c r="CD38" s="72">
        <f t="shared" si="11"/>
        <v>173</v>
      </c>
      <c r="CE38" s="71">
        <f t="shared" si="12"/>
        <v>219</v>
      </c>
      <c r="CF38" s="72">
        <f t="shared" si="13"/>
        <v>266</v>
      </c>
      <c r="CG38" s="71">
        <f t="shared" si="14"/>
        <v>292</v>
      </c>
      <c r="CH38" s="70">
        <f t="shared" si="15"/>
        <v>34</v>
      </c>
      <c r="CI38" s="71">
        <f t="shared" si="16"/>
        <v>38</v>
      </c>
      <c r="CJ38" s="72">
        <f t="shared" si="17"/>
        <v>69</v>
      </c>
      <c r="CK38" s="72">
        <f t="shared" si="18"/>
        <v>72</v>
      </c>
      <c r="CL38" s="72">
        <f t="shared" si="19"/>
        <v>108</v>
      </c>
      <c r="CM38" s="72">
        <f t="shared" si="20"/>
        <v>116</v>
      </c>
      <c r="CN38" s="72">
        <f t="shared" si="21"/>
        <v>142</v>
      </c>
      <c r="CO38" s="72">
        <f t="shared" si="22"/>
        <v>168</v>
      </c>
      <c r="CP38" s="72">
        <f t="shared" si="23"/>
        <v>213</v>
      </c>
      <c r="CQ38" s="72">
        <f t="shared" si="24"/>
        <v>259</v>
      </c>
      <c r="CR38" s="72">
        <f t="shared" si="25"/>
        <v>291</v>
      </c>
      <c r="CS38" s="72">
        <f t="shared" si="26"/>
        <v>311</v>
      </c>
      <c r="CT38" s="23">
        <f t="shared" si="2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aa2ar_human_5G53</v>
      </c>
      <c r="B39" s="3" t="s">
        <v>139</v>
      </c>
      <c r="C39" s="3" t="s">
        <v>1288</v>
      </c>
      <c r="D39" s="3" t="str">
        <f>IFERROR(MID(VLOOKUP($B39,Seqs!$A:$B,2,0),E39,1),"")</f>
        <v>S</v>
      </c>
      <c r="E39" s="3">
        <v>6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Q</v>
      </c>
      <c r="AM39" s="3">
        <v>207</v>
      </c>
      <c r="AN39" s="3" t="str">
        <f>IFERROR(MID(VLOOKUP($B39,Seqs!$A:$B,2,0),AO39,1),"")</f>
        <v>T</v>
      </c>
      <c r="AO39" s="3">
        <v>224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ref="BC39:BC118" si="225">_xlfn.AGGREGATE(9,6,CH39:CS39)-_xlfn.AGGREGATE(9,6,BV39:CG39)+12</f>
        <v>251</v>
      </c>
      <c r="BD39" s="4" t="s">
        <v>1371</v>
      </c>
      <c r="BE39" s="3" t="s">
        <v>1287</v>
      </c>
      <c r="BF39" s="118">
        <v>3.4</v>
      </c>
      <c r="BG39" s="49" t="s">
        <v>1277</v>
      </c>
      <c r="BH39" s="49" t="s">
        <v>1277</v>
      </c>
      <c r="BI39" s="1"/>
      <c r="BJ39" s="70" t="s">
        <v>1283</v>
      </c>
      <c r="BK39" s="57" t="s">
        <v>1283</v>
      </c>
      <c r="BL39" s="57" t="s">
        <v>1283</v>
      </c>
      <c r="BM39" s="57" t="s">
        <v>1283</v>
      </c>
      <c r="BN39" s="57" t="s">
        <v>1283</v>
      </c>
      <c r="BO39" s="57" t="s">
        <v>1283</v>
      </c>
      <c r="BP39" s="57" t="s">
        <v>1283</v>
      </c>
      <c r="BQ39" s="57" t="s">
        <v>1283</v>
      </c>
      <c r="BR39" s="57" t="s">
        <v>1283</v>
      </c>
      <c r="BS39" s="57" t="s">
        <v>1283</v>
      </c>
      <c r="BT39" s="57" t="s">
        <v>1283</v>
      </c>
      <c r="BU39" s="57" t="s">
        <v>1283</v>
      </c>
      <c r="BV39" s="70">
        <f t="shared" ref="BV39:BV118" si="226">E39</f>
        <v>6</v>
      </c>
      <c r="BW39" s="71">
        <f t="shared" ref="BW39:BW118" si="227">I39</f>
        <v>35</v>
      </c>
      <c r="BX39" s="72">
        <f t="shared" ref="BX39:BX118" si="228">M39</f>
        <v>39</v>
      </c>
      <c r="BY39" s="71">
        <f t="shared" ref="BY39:BY118" si="229">Q39</f>
        <v>70</v>
      </c>
      <c r="BZ39" s="72">
        <f t="shared" ref="BZ39:BZ118" si="230">U39</f>
        <v>73</v>
      </c>
      <c r="CA39" s="71">
        <f t="shared" ref="CA39:CA118" si="231">Y39</f>
        <v>109</v>
      </c>
      <c r="CB39" s="72">
        <f t="shared" ref="CB39:CB118" si="232">AC39</f>
        <v>117</v>
      </c>
      <c r="CC39" s="71">
        <f t="shared" ref="CC39:CC118" si="233">AG39</f>
        <v>166</v>
      </c>
      <c r="CD39" s="72">
        <f t="shared" ref="CD39:CD118" si="234">AK39</f>
        <v>173</v>
      </c>
      <c r="CE39" s="71">
        <f t="shared" ref="CE39:CE118" si="235">AO39</f>
        <v>224</v>
      </c>
      <c r="CF39" s="72">
        <f t="shared" ref="CF39:CF118" si="236">AS39</f>
        <v>266</v>
      </c>
      <c r="CG39" s="71">
        <f t="shared" ref="CG39:CG118" si="237">AW39</f>
        <v>292</v>
      </c>
      <c r="CH39" s="70">
        <f t="shared" ref="CH39:CH118" si="238">G39</f>
        <v>34</v>
      </c>
      <c r="CI39" s="71">
        <f t="shared" ref="CI39:CI118" si="239">K39</f>
        <v>38</v>
      </c>
      <c r="CJ39" s="72">
        <f t="shared" ref="CJ39:CJ118" si="240">O39</f>
        <v>69</v>
      </c>
      <c r="CK39" s="72">
        <f t="shared" ref="CK39:CK118" si="241">S39</f>
        <v>72</v>
      </c>
      <c r="CL39" s="72">
        <f t="shared" ref="CL39:CL118" si="242">W39</f>
        <v>108</v>
      </c>
      <c r="CM39" s="72">
        <f t="shared" ref="CM39:CM118" si="243">AA39</f>
        <v>116</v>
      </c>
      <c r="CN39" s="72">
        <f t="shared" ref="CN39:CN118" si="244">AE39</f>
        <v>142</v>
      </c>
      <c r="CO39" s="72">
        <f t="shared" ref="CO39:CO118" si="245">AI39</f>
        <v>168</v>
      </c>
      <c r="CP39" s="72">
        <f t="shared" ref="CP39:CP118" si="246">AM39</f>
        <v>207</v>
      </c>
      <c r="CQ39" s="72">
        <f t="shared" ref="CQ39:CQ118" si="247">AQ39</f>
        <v>259</v>
      </c>
      <c r="CR39" s="72">
        <f t="shared" ref="CR39:CR118" si="248">AU39</f>
        <v>291</v>
      </c>
      <c r="CS39" s="72">
        <f t="shared" ref="CS39:CS118" si="249">AY39</f>
        <v>305</v>
      </c>
      <c r="CT39" s="23">
        <f t="shared" ref="CT39:CT118" si="250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aa2ar_human_5IU4</v>
      </c>
      <c r="B40" s="3" t="s">
        <v>139</v>
      </c>
      <c r="C40" s="3" t="s">
        <v>1341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261</v>
      </c>
      <c r="BD40" s="4" t="s">
        <v>23</v>
      </c>
      <c r="BE40" s="3" t="s">
        <v>1370</v>
      </c>
      <c r="BF40" s="118">
        <v>1.72</v>
      </c>
      <c r="BG40" s="49" t="s">
        <v>1373</v>
      </c>
      <c r="BH40" s="49" t="s">
        <v>1373</v>
      </c>
      <c r="BI40" s="1"/>
      <c r="BJ40" s="70" t="s">
        <v>1283</v>
      </c>
      <c r="BK40" s="57" t="s">
        <v>1283</v>
      </c>
      <c r="BL40" s="57" t="s">
        <v>1283</v>
      </c>
      <c r="BM40" s="57" t="s">
        <v>1283</v>
      </c>
      <c r="BN40" s="57" t="s">
        <v>1283</v>
      </c>
      <c r="BO40" s="57" t="s">
        <v>1283</v>
      </c>
      <c r="BP40" s="57" t="s">
        <v>1283</v>
      </c>
      <c r="BQ40" s="57" t="s">
        <v>1283</v>
      </c>
      <c r="BR40" s="57" t="s">
        <v>1283</v>
      </c>
      <c r="BS40" s="57" t="s">
        <v>1283</v>
      </c>
      <c r="BT40" s="57" t="s">
        <v>1283</v>
      </c>
      <c r="BU40" s="57" t="s">
        <v>1283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305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aa2ar_human_5IU7</v>
      </c>
      <c r="B41" s="3" t="s">
        <v>139</v>
      </c>
      <c r="C41" s="3" t="s">
        <v>1342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263</v>
      </c>
      <c r="BD41" s="4" t="s">
        <v>23</v>
      </c>
      <c r="BE41" s="3" t="s">
        <v>1370</v>
      </c>
      <c r="BF41" s="118">
        <v>1.9</v>
      </c>
      <c r="BG41" s="49" t="s">
        <v>1373</v>
      </c>
      <c r="BH41" s="49" t="s">
        <v>1373</v>
      </c>
      <c r="BI41" s="1"/>
      <c r="BJ41" s="70" t="s">
        <v>1283</v>
      </c>
      <c r="BK41" s="57" t="s">
        <v>1283</v>
      </c>
      <c r="BL41" s="57" t="s">
        <v>1283</v>
      </c>
      <c r="BM41" s="57" t="s">
        <v>1283</v>
      </c>
      <c r="BN41" s="57" t="s">
        <v>1283</v>
      </c>
      <c r="BO41" s="57" t="s">
        <v>1283</v>
      </c>
      <c r="BP41" s="57" t="s">
        <v>1283</v>
      </c>
      <c r="BQ41" s="57" t="s">
        <v>1283</v>
      </c>
      <c r="BR41" s="57" t="s">
        <v>1283</v>
      </c>
      <c r="BS41" s="57" t="s">
        <v>1283</v>
      </c>
      <c r="BT41" s="57" t="s">
        <v>1283</v>
      </c>
      <c r="BU41" s="57" t="s">
        <v>1283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307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aa2ar_human_5IU8</v>
      </c>
      <c r="B42" s="3" t="s">
        <v>139</v>
      </c>
      <c r="C42" s="3" t="s">
        <v>1343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261</v>
      </c>
      <c r="BD42" s="4" t="s">
        <v>23</v>
      </c>
      <c r="BE42" s="3" t="s">
        <v>1370</v>
      </c>
      <c r="BF42" s="118">
        <v>2</v>
      </c>
      <c r="BG42" s="49" t="s">
        <v>1373</v>
      </c>
      <c r="BH42" s="49" t="s">
        <v>1373</v>
      </c>
      <c r="BI42" s="1"/>
      <c r="BJ42" s="70" t="s">
        <v>1283</v>
      </c>
      <c r="BK42" s="57" t="s">
        <v>1283</v>
      </c>
      <c r="BL42" s="57" t="s">
        <v>1283</v>
      </c>
      <c r="BM42" s="57" t="s">
        <v>1283</v>
      </c>
      <c r="BN42" s="57" t="s">
        <v>1283</v>
      </c>
      <c r="BO42" s="57" t="s">
        <v>1283</v>
      </c>
      <c r="BP42" s="57" t="s">
        <v>1283</v>
      </c>
      <c r="BQ42" s="57" t="s">
        <v>1283</v>
      </c>
      <c r="BR42" s="57" t="s">
        <v>1283</v>
      </c>
      <c r="BS42" s="57" t="s">
        <v>1283</v>
      </c>
      <c r="BT42" s="57" t="s">
        <v>1283</v>
      </c>
      <c r="BU42" s="57" t="s">
        <v>1283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305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aa2ar_human_5IUA</v>
      </c>
      <c r="B43" s="3" t="s">
        <v>139</v>
      </c>
      <c r="C43" s="3" t="s">
        <v>1344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262</v>
      </c>
      <c r="BD43" s="4" t="s">
        <v>23</v>
      </c>
      <c r="BE43" s="3" t="s">
        <v>1370</v>
      </c>
      <c r="BF43" s="118">
        <v>2.2000000000000002</v>
      </c>
      <c r="BG43" s="49" t="s">
        <v>1373</v>
      </c>
      <c r="BH43" s="49" t="s">
        <v>1373</v>
      </c>
      <c r="BI43" s="1"/>
      <c r="BJ43" s="70" t="s">
        <v>1283</v>
      </c>
      <c r="BK43" s="57" t="s">
        <v>1283</v>
      </c>
      <c r="BL43" s="57" t="s">
        <v>1283</v>
      </c>
      <c r="BM43" s="57" t="s">
        <v>1283</v>
      </c>
      <c r="BN43" s="57" t="s">
        <v>1283</v>
      </c>
      <c r="BO43" s="57" t="s">
        <v>1283</v>
      </c>
      <c r="BP43" s="57" t="s">
        <v>1283</v>
      </c>
      <c r="BQ43" s="57" t="s">
        <v>1283</v>
      </c>
      <c r="BR43" s="57" t="s">
        <v>1283</v>
      </c>
      <c r="BS43" s="57" t="s">
        <v>1283</v>
      </c>
      <c r="BT43" s="57" t="s">
        <v>1283</v>
      </c>
      <c r="BU43" s="57" t="s">
        <v>1283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306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aa2ar_human_5IUB</v>
      </c>
      <c r="B44" s="3" t="s">
        <v>139</v>
      </c>
      <c r="C44" s="3" t="s">
        <v>1345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S</v>
      </c>
      <c r="AY44" s="3">
        <v>305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261</v>
      </c>
      <c r="BD44" s="4" t="s">
        <v>23</v>
      </c>
      <c r="BE44" s="3" t="s">
        <v>1370</v>
      </c>
      <c r="BF44" s="118">
        <v>2.1</v>
      </c>
      <c r="BG44" s="49" t="s">
        <v>1373</v>
      </c>
      <c r="BH44" s="49" t="s">
        <v>1373</v>
      </c>
      <c r="BI44" s="1"/>
      <c r="BJ44" s="70" t="s">
        <v>1283</v>
      </c>
      <c r="BK44" s="57" t="s">
        <v>1283</v>
      </c>
      <c r="BL44" s="57" t="s">
        <v>1283</v>
      </c>
      <c r="BM44" s="57" t="s">
        <v>1283</v>
      </c>
      <c r="BN44" s="57" t="s">
        <v>1283</v>
      </c>
      <c r="BO44" s="57" t="s">
        <v>1283</v>
      </c>
      <c r="BP44" s="57" t="s">
        <v>1283</v>
      </c>
      <c r="BQ44" s="57" t="s">
        <v>1283</v>
      </c>
      <c r="BR44" s="57" t="s">
        <v>1283</v>
      </c>
      <c r="BS44" s="57" t="s">
        <v>1283</v>
      </c>
      <c r="BT44" s="57" t="s">
        <v>1283</v>
      </c>
      <c r="BU44" s="57" t="s">
        <v>1283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305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aa2ar_human_5K2A</v>
      </c>
      <c r="B45" s="3" t="s">
        <v>139</v>
      </c>
      <c r="C45" s="3" t="s">
        <v>1335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1" t="s">
        <v>23</v>
      </c>
      <c r="BE45" s="3" t="s">
        <v>1370</v>
      </c>
      <c r="BF45" s="118">
        <v>2.5</v>
      </c>
      <c r="BG45" s="49" t="s">
        <v>1373</v>
      </c>
      <c r="BH45" s="49" t="s">
        <v>1373</v>
      </c>
      <c r="BI45" s="1"/>
      <c r="BJ45" s="70" t="s">
        <v>1283</v>
      </c>
      <c r="BK45" s="57" t="s">
        <v>1283</v>
      </c>
      <c r="BL45" s="57" t="s">
        <v>1283</v>
      </c>
      <c r="BM45" s="57" t="s">
        <v>1283</v>
      </c>
      <c r="BN45" s="57" t="s">
        <v>1283</v>
      </c>
      <c r="BO45" s="57" t="s">
        <v>1283</v>
      </c>
      <c r="BP45" s="57" t="s">
        <v>1283</v>
      </c>
      <c r="BQ45" s="57" t="s">
        <v>1283</v>
      </c>
      <c r="BR45" s="57" t="s">
        <v>1283</v>
      </c>
      <c r="BS45" s="57" t="s">
        <v>1283</v>
      </c>
      <c r="BT45" s="57" t="s">
        <v>1283</v>
      </c>
      <c r="BU45" s="57" t="s">
        <v>1283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aa2ar_human_5K2B</v>
      </c>
      <c r="B46" s="3" t="s">
        <v>139</v>
      </c>
      <c r="C46" s="3" t="s">
        <v>1336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1370</v>
      </c>
      <c r="BF46" s="118">
        <v>2.5</v>
      </c>
      <c r="BG46" s="49" t="s">
        <v>1373</v>
      </c>
      <c r="BH46" s="49" t="s">
        <v>1373</v>
      </c>
      <c r="BI46" s="1"/>
      <c r="BJ46" s="70" t="s">
        <v>1283</v>
      </c>
      <c r="BK46" s="57" t="s">
        <v>1283</v>
      </c>
      <c r="BL46" s="57" t="s">
        <v>1283</v>
      </c>
      <c r="BM46" s="57" t="s">
        <v>1283</v>
      </c>
      <c r="BN46" s="57" t="s">
        <v>1283</v>
      </c>
      <c r="BO46" s="57" t="s">
        <v>1283</v>
      </c>
      <c r="BP46" s="57" t="s">
        <v>1283</v>
      </c>
      <c r="BQ46" s="57" t="s">
        <v>1283</v>
      </c>
      <c r="BR46" s="57" t="s">
        <v>1283</v>
      </c>
      <c r="BS46" s="57" t="s">
        <v>1283</v>
      </c>
      <c r="BT46" s="57" t="s">
        <v>1283</v>
      </c>
      <c r="BU46" s="57" t="s">
        <v>1283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aa2ar_human_5K2C</v>
      </c>
      <c r="B47" s="3" t="s">
        <v>139</v>
      </c>
      <c r="C47" s="3" t="s">
        <v>1337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4" t="s">
        <v>23</v>
      </c>
      <c r="BE47" s="3" t="s">
        <v>1370</v>
      </c>
      <c r="BF47" s="118">
        <v>1.9</v>
      </c>
      <c r="BG47" s="49" t="s">
        <v>1373</v>
      </c>
      <c r="BH47" s="49" t="s">
        <v>1373</v>
      </c>
      <c r="BI47" s="1"/>
      <c r="BJ47" s="70" t="s">
        <v>1283</v>
      </c>
      <c r="BK47" s="57" t="s">
        <v>1283</v>
      </c>
      <c r="BL47" s="57" t="s">
        <v>1283</v>
      </c>
      <c r="BM47" s="57" t="s">
        <v>1283</v>
      </c>
      <c r="BN47" s="57" t="s">
        <v>1283</v>
      </c>
      <c r="BO47" s="57" t="s">
        <v>1283</v>
      </c>
      <c r="BP47" s="57" t="s">
        <v>1283</v>
      </c>
      <c r="BQ47" s="57" t="s">
        <v>1283</v>
      </c>
      <c r="BR47" s="57" t="s">
        <v>1283</v>
      </c>
      <c r="BS47" s="57" t="s">
        <v>1283</v>
      </c>
      <c r="BT47" s="57" t="s">
        <v>1283</v>
      </c>
      <c r="BU47" s="57" t="s">
        <v>1283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si="0"/>
        <v>aa2ar_human_5K2D</v>
      </c>
      <c r="B48" s="3" t="s">
        <v>139</v>
      </c>
      <c r="C48" s="3" t="s">
        <v>1338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9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V</v>
      </c>
      <c r="AY48" s="3">
        <v>307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"/>
        <v>1</v>
      </c>
      <c r="BC48" s="23">
        <f t="shared" si="225"/>
        <v>263</v>
      </c>
      <c r="BD48" s="5" t="s">
        <v>23</v>
      </c>
      <c r="BE48" s="3" t="s">
        <v>1370</v>
      </c>
      <c r="BF48" s="118">
        <v>1.9</v>
      </c>
      <c r="BG48" s="49" t="s">
        <v>1373</v>
      </c>
      <c r="BH48" s="49" t="s">
        <v>1373</v>
      </c>
      <c r="BI48" s="1"/>
      <c r="BJ48" s="70" t="s">
        <v>1283</v>
      </c>
      <c r="BK48" s="57" t="s">
        <v>1283</v>
      </c>
      <c r="BL48" s="57" t="s">
        <v>1283</v>
      </c>
      <c r="BM48" s="57" t="s">
        <v>1283</v>
      </c>
      <c r="BN48" s="57" t="s">
        <v>1283</v>
      </c>
      <c r="BO48" s="57" t="s">
        <v>1283</v>
      </c>
      <c r="BP48" s="57" t="s">
        <v>1283</v>
      </c>
      <c r="BQ48" s="57" t="s">
        <v>1283</v>
      </c>
      <c r="BR48" s="57" t="s">
        <v>1283</v>
      </c>
      <c r="BS48" s="57" t="s">
        <v>1283</v>
      </c>
      <c r="BT48" s="57" t="s">
        <v>1283</v>
      </c>
      <c r="BU48" s="57" t="s">
        <v>1283</v>
      </c>
      <c r="BV48" s="70">
        <f t="shared" si="226"/>
        <v>2</v>
      </c>
      <c r="BW48" s="71">
        <f t="shared" si="227"/>
        <v>35</v>
      </c>
      <c r="BX48" s="72">
        <f t="shared" si="228"/>
        <v>39</v>
      </c>
      <c r="BY48" s="71">
        <f t="shared" si="229"/>
        <v>70</v>
      </c>
      <c r="BZ48" s="72">
        <f t="shared" si="230"/>
        <v>73</v>
      </c>
      <c r="CA48" s="71">
        <f t="shared" si="231"/>
        <v>109</v>
      </c>
      <c r="CB48" s="72">
        <f t="shared" si="232"/>
        <v>117</v>
      </c>
      <c r="CC48" s="71">
        <f t="shared" si="233"/>
        <v>166</v>
      </c>
      <c r="CD48" s="72">
        <f t="shared" si="234"/>
        <v>173</v>
      </c>
      <c r="CE48" s="71">
        <f t="shared" si="235"/>
        <v>219</v>
      </c>
      <c r="CF48" s="72">
        <f t="shared" si="236"/>
        <v>266</v>
      </c>
      <c r="CG48" s="71">
        <f t="shared" si="237"/>
        <v>292</v>
      </c>
      <c r="CH48" s="70">
        <f t="shared" si="238"/>
        <v>34</v>
      </c>
      <c r="CI48" s="71">
        <f t="shared" si="239"/>
        <v>38</v>
      </c>
      <c r="CJ48" s="72">
        <f t="shared" si="240"/>
        <v>69</v>
      </c>
      <c r="CK48" s="72">
        <f t="shared" si="241"/>
        <v>72</v>
      </c>
      <c r="CL48" s="72">
        <f t="shared" si="242"/>
        <v>108</v>
      </c>
      <c r="CM48" s="72">
        <f t="shared" si="243"/>
        <v>116</v>
      </c>
      <c r="CN48" s="72">
        <f t="shared" si="244"/>
        <v>142</v>
      </c>
      <c r="CO48" s="72">
        <f t="shared" si="245"/>
        <v>168</v>
      </c>
      <c r="CP48" s="72">
        <f t="shared" si="246"/>
        <v>208</v>
      </c>
      <c r="CQ48" s="72">
        <f t="shared" si="247"/>
        <v>259</v>
      </c>
      <c r="CR48" s="72">
        <f t="shared" si="248"/>
        <v>291</v>
      </c>
      <c r="CS48" s="72">
        <f t="shared" si="249"/>
        <v>307</v>
      </c>
      <c r="CT48" s="23">
        <f t="shared" si="250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ref="A49:A69" si="251">CONCATENATE(B49,"_",C49)</f>
        <v>aa2ar_human_5MZJ</v>
      </c>
      <c r="B49" s="3" t="s">
        <v>139</v>
      </c>
      <c r="C49" s="3" t="s">
        <v>1431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ref="BB49:BB69" si="252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23">
        <f t="shared" ref="BC49:BC69" si="253">_xlfn.AGGREGATE(9,6,CH49:CS49)-_xlfn.AGGREGATE(9,6,BV49:CG49)+12</f>
        <v>261</v>
      </c>
      <c r="BD49" s="5" t="s">
        <v>23</v>
      </c>
      <c r="BE49" s="3" t="s">
        <v>1370</v>
      </c>
      <c r="BF49" s="118">
        <v>2</v>
      </c>
      <c r="BG49" s="49" t="s">
        <v>1</v>
      </c>
      <c r="BH49" s="49" t="s">
        <v>1</v>
      </c>
      <c r="BI49" s="1"/>
      <c r="BJ49" s="70" t="s">
        <v>1283</v>
      </c>
      <c r="BK49" s="57" t="s">
        <v>1283</v>
      </c>
      <c r="BL49" s="57" t="s">
        <v>1283</v>
      </c>
      <c r="BM49" s="57" t="s">
        <v>1283</v>
      </c>
      <c r="BN49" s="57" t="s">
        <v>1283</v>
      </c>
      <c r="BO49" s="57" t="s">
        <v>1283</v>
      </c>
      <c r="BP49" s="57" t="s">
        <v>1283</v>
      </c>
      <c r="BQ49" s="57" t="s">
        <v>1283</v>
      </c>
      <c r="BR49" s="57" t="s">
        <v>1283</v>
      </c>
      <c r="BS49" s="57" t="s">
        <v>1283</v>
      </c>
      <c r="BT49" s="57" t="s">
        <v>1283</v>
      </c>
      <c r="BU49" s="57" t="s">
        <v>1283</v>
      </c>
      <c r="BV49" s="70">
        <f t="shared" ref="BV49:BV69" si="254">E49</f>
        <v>2</v>
      </c>
      <c r="BW49" s="71">
        <f t="shared" ref="BW49:BW69" si="255">I49</f>
        <v>35</v>
      </c>
      <c r="BX49" s="72">
        <f t="shared" ref="BX49:BX69" si="256">M49</f>
        <v>39</v>
      </c>
      <c r="BY49" s="71">
        <f t="shared" ref="BY49:BY69" si="257">Q49</f>
        <v>70</v>
      </c>
      <c r="BZ49" s="72">
        <f t="shared" ref="BZ49:BZ69" si="258">U49</f>
        <v>73</v>
      </c>
      <c r="CA49" s="71">
        <f t="shared" ref="CA49:CA69" si="259">Y49</f>
        <v>109</v>
      </c>
      <c r="CB49" s="72">
        <f t="shared" ref="CB49:CB69" si="260">AC49</f>
        <v>117</v>
      </c>
      <c r="CC49" s="71">
        <f t="shared" ref="CC49:CC69" si="261">AG49</f>
        <v>166</v>
      </c>
      <c r="CD49" s="72">
        <f t="shared" ref="CD49:CD69" si="262">AK49</f>
        <v>173</v>
      </c>
      <c r="CE49" s="71">
        <f t="shared" ref="CE49:CE69" si="263">AO49</f>
        <v>219</v>
      </c>
      <c r="CF49" s="72">
        <f t="shared" ref="CF49:CF69" si="264">AS49</f>
        <v>266</v>
      </c>
      <c r="CG49" s="71">
        <f t="shared" ref="CG49:CG69" si="265">AW49</f>
        <v>292</v>
      </c>
      <c r="CH49" s="70">
        <f t="shared" ref="CH49:CH69" si="266">G49</f>
        <v>34</v>
      </c>
      <c r="CI49" s="71">
        <f t="shared" ref="CI49:CI69" si="267">K49</f>
        <v>38</v>
      </c>
      <c r="CJ49" s="72">
        <f t="shared" ref="CJ49:CJ69" si="268">O49</f>
        <v>69</v>
      </c>
      <c r="CK49" s="72">
        <f t="shared" ref="CK49:CK69" si="269">S49</f>
        <v>72</v>
      </c>
      <c r="CL49" s="72">
        <f t="shared" ref="CL49:CL69" si="270">W49</f>
        <v>108</v>
      </c>
      <c r="CM49" s="72">
        <f t="shared" ref="CM49:CM69" si="271">AA49</f>
        <v>116</v>
      </c>
      <c r="CN49" s="72">
        <f t="shared" ref="CN49:CN69" si="272">AE49</f>
        <v>142</v>
      </c>
      <c r="CO49" s="72">
        <f t="shared" ref="CO49:CO69" si="273">AI49</f>
        <v>168</v>
      </c>
      <c r="CP49" s="72">
        <f t="shared" ref="CP49:CP69" si="274">AM49</f>
        <v>208</v>
      </c>
      <c r="CQ49" s="72">
        <f t="shared" ref="CQ49:CQ69" si="275">AQ49</f>
        <v>259</v>
      </c>
      <c r="CR49" s="72">
        <f t="shared" ref="CR49:CR69" si="276">AU49</f>
        <v>291</v>
      </c>
      <c r="CS49" s="72">
        <f t="shared" ref="CS49:CS69" si="277">AY49</f>
        <v>305</v>
      </c>
      <c r="CT49" s="23">
        <f t="shared" ref="CT49:CT69" si="278">M49-K49</f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aa2ar_human_5MZP</v>
      </c>
      <c r="B50" s="3" t="s">
        <v>139</v>
      </c>
      <c r="C50" s="3" t="s">
        <v>1432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1370</v>
      </c>
      <c r="BF50" s="118">
        <v>3</v>
      </c>
      <c r="BG50" s="49" t="s">
        <v>1</v>
      </c>
      <c r="BH50" s="49" t="s">
        <v>1</v>
      </c>
      <c r="BI50" s="1"/>
      <c r="BJ50" s="70" t="s">
        <v>1283</v>
      </c>
      <c r="BK50" s="57" t="s">
        <v>1283</v>
      </c>
      <c r="BL50" s="57" t="s">
        <v>1283</v>
      </c>
      <c r="BM50" s="57" t="s">
        <v>1283</v>
      </c>
      <c r="BN50" s="57" t="s">
        <v>1283</v>
      </c>
      <c r="BO50" s="57" t="s">
        <v>1283</v>
      </c>
      <c r="BP50" s="57" t="s">
        <v>1283</v>
      </c>
      <c r="BQ50" s="57" t="s">
        <v>1283</v>
      </c>
      <c r="BR50" s="57" t="s">
        <v>1283</v>
      </c>
      <c r="BS50" s="57" t="s">
        <v>1283</v>
      </c>
      <c r="BT50" s="57" t="s">
        <v>1283</v>
      </c>
      <c r="BU50" s="57" t="s">
        <v>1283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aa2ar_human_5N2R</v>
      </c>
      <c r="B51" s="3" t="s">
        <v>139</v>
      </c>
      <c r="C51" s="3" t="s">
        <v>1426</v>
      </c>
      <c r="D51" s="3" t="str">
        <f>IFERROR(MID(VLOOKUP($B51,Seqs!$A:$B,2,0),E51,1),"")</f>
        <v>P</v>
      </c>
      <c r="E51" s="3">
        <v>2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S</v>
      </c>
      <c r="AY51" s="3">
        <v>305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261</v>
      </c>
      <c r="BD51" s="5" t="s">
        <v>23</v>
      </c>
      <c r="BE51" s="3" t="s">
        <v>1370</v>
      </c>
      <c r="BF51" s="118">
        <v>2.9</v>
      </c>
      <c r="BG51" s="49" t="s">
        <v>1</v>
      </c>
      <c r="BH51" s="49" t="s">
        <v>1</v>
      </c>
      <c r="BI51" s="1"/>
      <c r="BJ51" s="70" t="s">
        <v>1283</v>
      </c>
      <c r="BK51" s="57" t="s">
        <v>1283</v>
      </c>
      <c r="BL51" s="57" t="s">
        <v>1283</v>
      </c>
      <c r="BM51" s="57" t="s">
        <v>1283</v>
      </c>
      <c r="BN51" s="57" t="s">
        <v>1283</v>
      </c>
      <c r="BO51" s="57" t="s">
        <v>1283</v>
      </c>
      <c r="BP51" s="57" t="s">
        <v>1283</v>
      </c>
      <c r="BQ51" s="57" t="s">
        <v>1283</v>
      </c>
      <c r="BR51" s="57" t="s">
        <v>1283</v>
      </c>
      <c r="BS51" s="57" t="s">
        <v>1283</v>
      </c>
      <c r="BT51" s="57" t="s">
        <v>1283</v>
      </c>
      <c r="BU51" s="57" t="s">
        <v>1283</v>
      </c>
      <c r="BV51" s="70">
        <f t="shared" si="254"/>
        <v>2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305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aa2ar_human_5UIG</v>
      </c>
      <c r="B52" s="3" t="s">
        <v>139</v>
      </c>
      <c r="C52" s="3" t="s">
        <v>1383</v>
      </c>
      <c r="D52" s="3" t="str">
        <f>IFERROR(MID(VLOOKUP($B52,Seqs!$A:$B,2,0),E52,1),"")</f>
        <v>M</v>
      </c>
      <c r="E52" s="3">
        <v>4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Q</v>
      </c>
      <c r="AY52" s="3">
        <v>297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251</v>
      </c>
      <c r="BD52" s="5" t="s">
        <v>23</v>
      </c>
      <c r="BE52" s="3" t="s">
        <v>1370</v>
      </c>
      <c r="BF52" s="118">
        <v>3.5</v>
      </c>
      <c r="BG52" s="49" t="s">
        <v>1373</v>
      </c>
      <c r="BH52" s="49" t="s">
        <v>1373</v>
      </c>
      <c r="BI52" s="1"/>
      <c r="BJ52" s="70" t="s">
        <v>1283</v>
      </c>
      <c r="BK52" s="57" t="s">
        <v>1283</v>
      </c>
      <c r="BL52" s="57" t="s">
        <v>1283</v>
      </c>
      <c r="BM52" s="57" t="s">
        <v>1283</v>
      </c>
      <c r="BN52" s="57" t="s">
        <v>1283</v>
      </c>
      <c r="BO52" s="57" t="s">
        <v>1283</v>
      </c>
      <c r="BP52" s="57" t="s">
        <v>1283</v>
      </c>
      <c r="BQ52" s="57" t="s">
        <v>1283</v>
      </c>
      <c r="BR52" s="57" t="s">
        <v>1283</v>
      </c>
      <c r="BS52" s="57" t="s">
        <v>1283</v>
      </c>
      <c r="BT52" s="57" t="s">
        <v>1283</v>
      </c>
      <c r="BU52" s="57" t="s">
        <v>1283</v>
      </c>
      <c r="BV52" s="70">
        <f t="shared" si="254"/>
        <v>4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297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aa2ar_human_5UVI</v>
      </c>
      <c r="B53" s="3" t="s">
        <v>139</v>
      </c>
      <c r="C53" s="3" t="s">
        <v>1407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H</v>
      </c>
      <c r="AY53" s="3">
        <v>306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263</v>
      </c>
      <c r="BD53" s="5" t="s">
        <v>23</v>
      </c>
      <c r="BE53" s="3" t="s">
        <v>1370</v>
      </c>
      <c r="BF53" s="118">
        <v>3.2</v>
      </c>
      <c r="BG53" s="49" t="s">
        <v>1</v>
      </c>
      <c r="BH53" s="49" t="s">
        <v>1</v>
      </c>
      <c r="BI53" s="1"/>
      <c r="BJ53" s="70" t="s">
        <v>1283</v>
      </c>
      <c r="BK53" s="57" t="s">
        <v>1283</v>
      </c>
      <c r="BL53" s="57" t="s">
        <v>1283</v>
      </c>
      <c r="BM53" s="57" t="s">
        <v>1283</v>
      </c>
      <c r="BN53" s="57" t="s">
        <v>1283</v>
      </c>
      <c r="BO53" s="57" t="s">
        <v>1283</v>
      </c>
      <c r="BP53" s="57" t="s">
        <v>1283</v>
      </c>
      <c r="BQ53" s="57" t="s">
        <v>1283</v>
      </c>
      <c r="BR53" s="57" t="s">
        <v>1283</v>
      </c>
      <c r="BS53" s="57" t="s">
        <v>1283</v>
      </c>
      <c r="BT53" s="57" t="s">
        <v>1283</v>
      </c>
      <c r="BU53" s="57" t="s">
        <v>1283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306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aa2ar_human_5JTB</v>
      </c>
      <c r="B54" s="3" t="s">
        <v>139</v>
      </c>
      <c r="C54" s="3" t="s">
        <v>1408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V</v>
      </c>
      <c r="AY54" s="3">
        <v>307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264</v>
      </c>
      <c r="BD54" s="5" t="s">
        <v>23</v>
      </c>
      <c r="BE54" s="3" t="s">
        <v>1370</v>
      </c>
      <c r="BF54" s="118">
        <v>2.8</v>
      </c>
      <c r="BG54" s="49" t="s">
        <v>1</v>
      </c>
      <c r="BH54" s="49" t="s">
        <v>1</v>
      </c>
      <c r="BI54" s="1"/>
      <c r="BJ54" s="70" t="s">
        <v>1283</v>
      </c>
      <c r="BK54" s="57" t="s">
        <v>1283</v>
      </c>
      <c r="BL54" s="57" t="s">
        <v>1283</v>
      </c>
      <c r="BM54" s="57" t="s">
        <v>1283</v>
      </c>
      <c r="BN54" s="57" t="s">
        <v>1283</v>
      </c>
      <c r="BO54" s="57" t="s">
        <v>1283</v>
      </c>
      <c r="BP54" s="57" t="s">
        <v>1283</v>
      </c>
      <c r="BQ54" s="57" t="s">
        <v>1283</v>
      </c>
      <c r="BR54" s="57" t="s">
        <v>1283</v>
      </c>
      <c r="BS54" s="57" t="s">
        <v>1283</v>
      </c>
      <c r="BT54" s="57" t="s">
        <v>1283</v>
      </c>
      <c r="BU54" s="57" t="s">
        <v>1283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307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251"/>
        <v>aa2ar_human_5NM2</v>
      </c>
      <c r="B55" s="3" t="s">
        <v>139</v>
      </c>
      <c r="C55" s="3" t="s">
        <v>1439</v>
      </c>
      <c r="D55" s="3" t="str">
        <f>IFERROR(MID(VLOOKUP($B55,Seqs!$A:$B,2,0),E55,1),"")</f>
        <v>M</v>
      </c>
      <c r="E55" s="3">
        <v>1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S</v>
      </c>
      <c r="AY55" s="3">
        <v>305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252"/>
        <v>1</v>
      </c>
      <c r="BC55" s="23">
        <f t="shared" si="253"/>
        <v>262</v>
      </c>
      <c r="BD55" s="5" t="s">
        <v>23</v>
      </c>
      <c r="BE55" s="3" t="s">
        <v>1370</v>
      </c>
      <c r="BF55" s="118">
        <v>1.95</v>
      </c>
      <c r="BG55" s="49" t="s">
        <v>1</v>
      </c>
      <c r="BH55" s="49" t="s">
        <v>1</v>
      </c>
      <c r="BI55" s="1"/>
      <c r="BJ55" s="70" t="s">
        <v>1283</v>
      </c>
      <c r="BK55" s="57" t="s">
        <v>1283</v>
      </c>
      <c r="BL55" s="57" t="s">
        <v>1283</v>
      </c>
      <c r="BM55" s="57" t="s">
        <v>1283</v>
      </c>
      <c r="BN55" s="57" t="s">
        <v>1283</v>
      </c>
      <c r="BO55" s="57" t="s">
        <v>1283</v>
      </c>
      <c r="BP55" s="57" t="s">
        <v>1283</v>
      </c>
      <c r="BQ55" s="57" t="s">
        <v>1283</v>
      </c>
      <c r="BR55" s="57" t="s">
        <v>1283</v>
      </c>
      <c r="BS55" s="57" t="s">
        <v>1283</v>
      </c>
      <c r="BT55" s="57" t="s">
        <v>1283</v>
      </c>
      <c r="BU55" s="57" t="s">
        <v>1283</v>
      </c>
      <c r="BV55" s="70">
        <f t="shared" si="254"/>
        <v>1</v>
      </c>
      <c r="BW55" s="71">
        <f t="shared" si="255"/>
        <v>35</v>
      </c>
      <c r="BX55" s="72">
        <f t="shared" si="256"/>
        <v>39</v>
      </c>
      <c r="BY55" s="71">
        <f t="shared" si="257"/>
        <v>70</v>
      </c>
      <c r="BZ55" s="72">
        <f t="shared" si="258"/>
        <v>73</v>
      </c>
      <c r="CA55" s="71">
        <f t="shared" si="259"/>
        <v>109</v>
      </c>
      <c r="CB55" s="72">
        <f t="shared" si="260"/>
        <v>117</v>
      </c>
      <c r="CC55" s="71">
        <f t="shared" si="261"/>
        <v>166</v>
      </c>
      <c r="CD55" s="72">
        <f t="shared" si="262"/>
        <v>173</v>
      </c>
      <c r="CE55" s="71">
        <f t="shared" si="263"/>
        <v>219</v>
      </c>
      <c r="CF55" s="72">
        <f t="shared" si="264"/>
        <v>266</v>
      </c>
      <c r="CG55" s="71">
        <f t="shared" si="265"/>
        <v>292</v>
      </c>
      <c r="CH55" s="70">
        <f t="shared" si="266"/>
        <v>34</v>
      </c>
      <c r="CI55" s="71">
        <f t="shared" si="267"/>
        <v>38</v>
      </c>
      <c r="CJ55" s="72">
        <f t="shared" si="268"/>
        <v>69</v>
      </c>
      <c r="CK55" s="72">
        <f t="shared" si="269"/>
        <v>72</v>
      </c>
      <c r="CL55" s="72">
        <f t="shared" si="270"/>
        <v>108</v>
      </c>
      <c r="CM55" s="72">
        <f t="shared" si="271"/>
        <v>116</v>
      </c>
      <c r="CN55" s="72">
        <f t="shared" si="272"/>
        <v>142</v>
      </c>
      <c r="CO55" s="72">
        <f t="shared" si="273"/>
        <v>168</v>
      </c>
      <c r="CP55" s="72">
        <f t="shared" si="274"/>
        <v>208</v>
      </c>
      <c r="CQ55" s="72">
        <f t="shared" si="275"/>
        <v>259</v>
      </c>
      <c r="CR55" s="72">
        <f t="shared" si="276"/>
        <v>291</v>
      </c>
      <c r="CS55" s="72">
        <f t="shared" si="277"/>
        <v>305</v>
      </c>
      <c r="CT55" s="23">
        <f t="shared" si="278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ref="A56" si="279">CONCATENATE(B56,"_",C56)</f>
        <v>aa2ar_human_5NM4</v>
      </c>
      <c r="B56" s="3" t="s">
        <v>139</v>
      </c>
      <c r="C56" s="3" t="s">
        <v>1556</v>
      </c>
      <c r="D56" s="3" t="str">
        <f>IFERROR(MID(VLOOKUP($B56,Seqs!$A:$B,2,0),E56,1),"")</f>
        <v>I</v>
      </c>
      <c r="E56" s="3">
        <v>10</v>
      </c>
      <c r="F56" s="3" t="str">
        <f>IFERROR(MID(VLOOKUP($B56,Seqs!$A:$B,2,0),G56,1),"")</f>
        <v>Y</v>
      </c>
      <c r="G56" s="3">
        <v>43</v>
      </c>
      <c r="H56" s="3" t="str">
        <f>IFERROR(MID(VLOOKUP($B56,Seqs!$A:$B,2,0),I56,1),"")</f>
        <v>F</v>
      </c>
      <c r="I56" s="23">
        <v>44</v>
      </c>
      <c r="J56" s="3" t="str">
        <f>IFERROR(MID(VLOOKUP($B56,Seqs!$A:$B,2,0),K56,1),"")</f>
        <v>S</v>
      </c>
      <c r="K56" s="23">
        <v>47</v>
      </c>
      <c r="L56" s="3" t="str">
        <f>IFERROR(MID(VLOOKUP($B56,Seqs!$A:$B,2,0),M56,1),"")</f>
        <v>L</v>
      </c>
      <c r="M56" s="3">
        <v>48</v>
      </c>
      <c r="N56" s="3" t="str">
        <f>IFERROR(MID(VLOOKUP($B56,Seqs!$A:$B,2,0),O56,1),"")</f>
        <v>L</v>
      </c>
      <c r="O56" s="3">
        <v>78</v>
      </c>
      <c r="P56" s="3" t="str">
        <f>IFERROR(MID(VLOOKUP($B56,Seqs!$A:$B,2,0),Q56,1),"")</f>
        <v>F</v>
      </c>
      <c r="Q56" s="3">
        <v>79</v>
      </c>
      <c r="R56" s="3" t="str">
        <f>IFERROR(MID(VLOOKUP($B56,Seqs!$A:$B,2,0),S56,1),"")</f>
        <v>A</v>
      </c>
      <c r="S56" s="3">
        <v>81</v>
      </c>
      <c r="T56" s="3" t="str">
        <f>IFERROR(MID(VLOOKUP($B56,Seqs!$A:$B,2,0),U56,1),"")</f>
        <v>C</v>
      </c>
      <c r="U56" s="3">
        <v>82</v>
      </c>
      <c r="V56" s="3" t="str">
        <f>IFERROR(MID(VLOOKUP($B56,Seqs!$A:$B,2,0),W56,1),"")</f>
        <v>T</v>
      </c>
      <c r="W56" s="3">
        <v>117</v>
      </c>
      <c r="X56" s="3" t="str">
        <f>IFERROR(MID(VLOOKUP($B56,Seqs!$A:$B,2,0),Y56,1),"")</f>
        <v>G</v>
      </c>
      <c r="Y56" s="3">
        <v>118</v>
      </c>
      <c r="Z56" s="3" t="str">
        <f>IFERROR(MID(VLOOKUP($B56,Seqs!$A:$B,2,0),AA56,1),"")</f>
        <v>I</v>
      </c>
      <c r="AA56" s="3">
        <v>125</v>
      </c>
      <c r="AB56" s="3" t="str">
        <f>IFERROR(MID(VLOOKUP($B56,Seqs!$A:$B,2,0),AC56,1),"")</f>
        <v>A</v>
      </c>
      <c r="AC56" s="3">
        <v>126</v>
      </c>
      <c r="AD56" s="3" t="str">
        <f>IFERROR(MID(VLOOKUP($B56,Seqs!$A:$B,2,0),AE56,1),"")</f>
        <v>E</v>
      </c>
      <c r="AE56" s="3">
        <v>151</v>
      </c>
      <c r="AF56" s="3" t="str">
        <f>IFERROR(MID(VLOOKUP($B56,Seqs!$A:$B,2,0),AG56,1),"")</f>
        <v>N</v>
      </c>
      <c r="AG56" s="3">
        <v>175</v>
      </c>
      <c r="AH56" s="3" t="str">
        <f>IFERROR(MID(VLOOKUP($B56,Seqs!$A:$B,2,0),AI56,1),"")</f>
        <v>M</v>
      </c>
      <c r="AI56" s="3">
        <v>177</v>
      </c>
      <c r="AJ56" s="3" t="str">
        <f>IFERROR(MID(VLOOKUP($B56,Seqs!$A:$B,2,0),AK56,1),"")</f>
        <v>F</v>
      </c>
      <c r="AK56" s="3">
        <v>182</v>
      </c>
      <c r="AL56" s="3" t="str">
        <f>IFERROR(MID(VLOOKUP($B56,Seqs!$A:$B,2,0),AM56,1),"")</f>
        <v>R</v>
      </c>
      <c r="AM56" s="3">
        <v>222</v>
      </c>
      <c r="AN56" s="3" t="str">
        <f>IFERROR(MID(VLOOKUP($B56,Seqs!$A:$B,2,0),AO56,1),"")</f>
        <v>L</v>
      </c>
      <c r="AO56" s="3">
        <v>324</v>
      </c>
      <c r="AP56" s="3" t="str">
        <f>IFERROR(MID(VLOOKUP($B56,Seqs!$A:$B,2,0),AQ56,1),"")</f>
        <v>G</v>
      </c>
      <c r="AQ56" s="3">
        <v>364</v>
      </c>
      <c r="AR56" s="3" t="str">
        <f>IFERROR(MID(VLOOKUP($B56,Seqs!$A:$B,2,0),AS56,1),"")</f>
        <v>A</v>
      </c>
      <c r="AS56" s="3">
        <v>371</v>
      </c>
      <c r="AT56" s="3" t="str">
        <f>IFERROR(MID(VLOOKUP($B56,Seqs!$A:$B,2,0),AU56,1),"")</f>
        <v>E</v>
      </c>
      <c r="AU56" s="3">
        <v>396</v>
      </c>
      <c r="AV56" s="3" t="str">
        <f>IFERROR(MID(VLOOKUP($B56,Seqs!$A:$B,2,0),AW56,1),"")</f>
        <v>P</v>
      </c>
      <c r="AW56" s="3">
        <v>397</v>
      </c>
      <c r="AX56" s="3" t="str">
        <f>IFERROR(MID(VLOOKUP($B56,Seqs!$A:$B,2,0),AY56,1),"")</f>
        <v>A</v>
      </c>
      <c r="AY56" s="3">
        <v>409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ref="BB56" si="280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23">
        <f t="shared" ref="BC56" si="281">_xlfn.AGGREGATE(9,6,CH56:CS56)-_xlfn.AGGREGATE(9,6,BV56:CG56)+12</f>
        <v>266</v>
      </c>
      <c r="BD56" s="5" t="s">
        <v>23</v>
      </c>
      <c r="BE56" s="3" t="s">
        <v>1370</v>
      </c>
      <c r="BF56" s="118">
        <v>1.7</v>
      </c>
      <c r="BG56" s="49" t="s">
        <v>1</v>
      </c>
      <c r="BH56" s="49" t="s">
        <v>1</v>
      </c>
      <c r="BI56" s="1"/>
      <c r="BJ56" s="70" t="s">
        <v>1283</v>
      </c>
      <c r="BK56" s="57" t="s">
        <v>1283</v>
      </c>
      <c r="BL56" s="57" t="s">
        <v>1283</v>
      </c>
      <c r="BM56" s="57" t="s">
        <v>1283</v>
      </c>
      <c r="BN56" s="57" t="s">
        <v>1283</v>
      </c>
      <c r="BO56" s="57" t="s">
        <v>1283</v>
      </c>
      <c r="BP56" s="57" t="s">
        <v>1283</v>
      </c>
      <c r="BQ56" s="57" t="s">
        <v>1283</v>
      </c>
      <c r="BR56" s="57" t="s">
        <v>1283</v>
      </c>
      <c r="BS56" s="57" t="s">
        <v>1283</v>
      </c>
      <c r="BT56" s="57" t="s">
        <v>1283</v>
      </c>
      <c r="BU56" s="57" t="s">
        <v>1283</v>
      </c>
      <c r="BV56" s="70">
        <f t="shared" ref="BV56" si="282">E56</f>
        <v>10</v>
      </c>
      <c r="BW56" s="71">
        <f t="shared" ref="BW56" si="283">I56</f>
        <v>44</v>
      </c>
      <c r="BX56" s="72">
        <f t="shared" ref="BX56" si="284">M56</f>
        <v>48</v>
      </c>
      <c r="BY56" s="71">
        <f t="shared" ref="BY56" si="285">Q56</f>
        <v>79</v>
      </c>
      <c r="BZ56" s="72">
        <f t="shared" ref="BZ56" si="286">U56</f>
        <v>82</v>
      </c>
      <c r="CA56" s="71">
        <f t="shared" ref="CA56" si="287">Y56</f>
        <v>118</v>
      </c>
      <c r="CB56" s="72">
        <f t="shared" ref="CB56" si="288">AC56</f>
        <v>126</v>
      </c>
      <c r="CC56" s="71">
        <f t="shared" ref="CC56" si="289">AG56</f>
        <v>175</v>
      </c>
      <c r="CD56" s="72">
        <f t="shared" ref="CD56" si="290">AK56</f>
        <v>182</v>
      </c>
      <c r="CE56" s="71">
        <f t="shared" ref="CE56" si="291">AO56</f>
        <v>324</v>
      </c>
      <c r="CF56" s="72">
        <f t="shared" ref="CF56" si="292">AS56</f>
        <v>371</v>
      </c>
      <c r="CG56" s="71">
        <f t="shared" ref="CG56" si="293">AW56</f>
        <v>397</v>
      </c>
      <c r="CH56" s="70">
        <f t="shared" ref="CH56" si="294">G56</f>
        <v>43</v>
      </c>
      <c r="CI56" s="71">
        <f t="shared" ref="CI56" si="295">K56</f>
        <v>47</v>
      </c>
      <c r="CJ56" s="72">
        <f t="shared" ref="CJ56" si="296">O56</f>
        <v>78</v>
      </c>
      <c r="CK56" s="72">
        <f t="shared" ref="CK56" si="297">S56</f>
        <v>81</v>
      </c>
      <c r="CL56" s="72">
        <f t="shared" ref="CL56" si="298">W56</f>
        <v>117</v>
      </c>
      <c r="CM56" s="72">
        <f t="shared" ref="CM56" si="299">AA56</f>
        <v>125</v>
      </c>
      <c r="CN56" s="72">
        <f t="shared" ref="CN56" si="300">AE56</f>
        <v>151</v>
      </c>
      <c r="CO56" s="72">
        <f t="shared" ref="CO56" si="301">AI56</f>
        <v>177</v>
      </c>
      <c r="CP56" s="72">
        <f t="shared" ref="CP56" si="302">AM56</f>
        <v>222</v>
      </c>
      <c r="CQ56" s="72">
        <f t="shared" ref="CQ56" si="303">AQ56</f>
        <v>364</v>
      </c>
      <c r="CR56" s="72">
        <f t="shared" ref="CR56" si="304">AU56</f>
        <v>396</v>
      </c>
      <c r="CS56" s="72">
        <f t="shared" ref="CS56" si="305">AY56</f>
        <v>409</v>
      </c>
      <c r="CT56" s="23">
        <f t="shared" ref="CT56" si="306">M56-K56</f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ref="A57" si="307">CONCATENATE(B57,"_",C57)</f>
        <v>aa2ar_human_5NLX</v>
      </c>
      <c r="B57" s="3" t="s">
        <v>139</v>
      </c>
      <c r="C57" s="3" t="s">
        <v>1557</v>
      </c>
      <c r="D57" s="3" t="str">
        <f>IFERROR(MID(VLOOKUP($B57,Seqs!$A:$B,2,0),E57,1),"")</f>
        <v>I</v>
      </c>
      <c r="E57" s="3">
        <v>10</v>
      </c>
      <c r="F57" s="3" t="str">
        <f>IFERROR(MID(VLOOKUP($B57,Seqs!$A:$B,2,0),G57,1),"")</f>
        <v>Y</v>
      </c>
      <c r="G57" s="3">
        <v>43</v>
      </c>
      <c r="H57" s="3" t="str">
        <f>IFERROR(MID(VLOOKUP($B57,Seqs!$A:$B,2,0),I57,1),"")</f>
        <v>F</v>
      </c>
      <c r="I57" s="23">
        <v>44</v>
      </c>
      <c r="J57" s="3" t="str">
        <f>IFERROR(MID(VLOOKUP($B57,Seqs!$A:$B,2,0),K57,1),"")</f>
        <v>S</v>
      </c>
      <c r="K57" s="23">
        <v>47</v>
      </c>
      <c r="L57" s="3" t="str">
        <f>IFERROR(MID(VLOOKUP($B57,Seqs!$A:$B,2,0),M57,1),"")</f>
        <v>L</v>
      </c>
      <c r="M57" s="3">
        <v>48</v>
      </c>
      <c r="N57" s="3" t="str">
        <f>IFERROR(MID(VLOOKUP($B57,Seqs!$A:$B,2,0),O57,1),"")</f>
        <v>L</v>
      </c>
      <c r="O57" s="3">
        <v>78</v>
      </c>
      <c r="P57" s="3" t="str">
        <f>IFERROR(MID(VLOOKUP($B57,Seqs!$A:$B,2,0),Q57,1),"")</f>
        <v>F</v>
      </c>
      <c r="Q57" s="3">
        <v>79</v>
      </c>
      <c r="R57" s="3" t="str">
        <f>IFERROR(MID(VLOOKUP($B57,Seqs!$A:$B,2,0),S57,1),"")</f>
        <v>A</v>
      </c>
      <c r="S57" s="3">
        <v>81</v>
      </c>
      <c r="T57" s="3" t="str">
        <f>IFERROR(MID(VLOOKUP($B57,Seqs!$A:$B,2,0),U57,1),"")</f>
        <v>C</v>
      </c>
      <c r="U57" s="3">
        <v>82</v>
      </c>
      <c r="V57" s="3" t="str">
        <f>IFERROR(MID(VLOOKUP($B57,Seqs!$A:$B,2,0),W57,1),"")</f>
        <v>T</v>
      </c>
      <c r="W57" s="3">
        <v>117</v>
      </c>
      <c r="X57" s="3" t="str">
        <f>IFERROR(MID(VLOOKUP($B57,Seqs!$A:$B,2,0),Y57,1),"")</f>
        <v>G</v>
      </c>
      <c r="Y57" s="3">
        <v>118</v>
      </c>
      <c r="Z57" s="3" t="str">
        <f>IFERROR(MID(VLOOKUP($B57,Seqs!$A:$B,2,0),AA57,1),"")</f>
        <v>I</v>
      </c>
      <c r="AA57" s="3">
        <v>125</v>
      </c>
      <c r="AB57" s="3" t="str">
        <f>IFERROR(MID(VLOOKUP($B57,Seqs!$A:$B,2,0),AC57,1),"")</f>
        <v>A</v>
      </c>
      <c r="AC57" s="3">
        <v>126</v>
      </c>
      <c r="AD57" s="3" t="str">
        <f>IFERROR(MID(VLOOKUP($B57,Seqs!$A:$B,2,0),AE57,1),"")</f>
        <v>E</v>
      </c>
      <c r="AE57" s="3">
        <v>151</v>
      </c>
      <c r="AF57" s="3" t="str">
        <f>IFERROR(MID(VLOOKUP($B57,Seqs!$A:$B,2,0),AG57,1),"")</f>
        <v>N</v>
      </c>
      <c r="AG57" s="3">
        <v>175</v>
      </c>
      <c r="AH57" s="3" t="str">
        <f>IFERROR(MID(VLOOKUP($B57,Seqs!$A:$B,2,0),AI57,1),"")</f>
        <v>M</v>
      </c>
      <c r="AI57" s="3">
        <v>177</v>
      </c>
      <c r="AJ57" s="3" t="str">
        <f>IFERROR(MID(VLOOKUP($B57,Seqs!$A:$B,2,0),AK57,1),"")</f>
        <v>F</v>
      </c>
      <c r="AK57" s="3">
        <v>182</v>
      </c>
      <c r="AL57" s="3" t="str">
        <f>IFERROR(MID(VLOOKUP($B57,Seqs!$A:$B,2,0),AM57,1),"")</f>
        <v>R</v>
      </c>
      <c r="AM57" s="3">
        <v>222</v>
      </c>
      <c r="AN57" s="3" t="str">
        <f>IFERROR(MID(VLOOKUP($B57,Seqs!$A:$B,2,0),AO57,1),"")</f>
        <v>L</v>
      </c>
      <c r="AO57" s="3">
        <v>324</v>
      </c>
      <c r="AP57" s="3" t="str">
        <f>IFERROR(MID(VLOOKUP($B57,Seqs!$A:$B,2,0),AQ57,1),"")</f>
        <v>G</v>
      </c>
      <c r="AQ57" s="3">
        <v>364</v>
      </c>
      <c r="AR57" s="3" t="str">
        <f>IFERROR(MID(VLOOKUP($B57,Seqs!$A:$B,2,0),AS57,1),"")</f>
        <v>A</v>
      </c>
      <c r="AS57" s="3">
        <v>371</v>
      </c>
      <c r="AT57" s="3" t="str">
        <f>IFERROR(MID(VLOOKUP($B57,Seqs!$A:$B,2,0),AU57,1),"")</f>
        <v>E</v>
      </c>
      <c r="AU57" s="3">
        <v>396</v>
      </c>
      <c r="AV57" s="3" t="str">
        <f>IFERROR(MID(VLOOKUP($B57,Seqs!$A:$B,2,0),AW57,1),"")</f>
        <v>P</v>
      </c>
      <c r="AW57" s="3">
        <v>397</v>
      </c>
      <c r="AX57" s="3" t="str">
        <f>IFERROR(MID(VLOOKUP($B57,Seqs!$A:$B,2,0),AY57,1),"")</f>
        <v>A</v>
      </c>
      <c r="AY57" s="3">
        <v>409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ref="BB57" si="308">AND(E57&lt;G57,OR(G57&lt;I57,I57="-"),OR(I57&lt;K57,I57="-"),OR(K57&lt;M57,K57="-"),M57&lt;O57,OR(O57&lt;Q57,Q57="-"),OR(Q57&lt;S57,Q57="-"),OR(S57&lt;U57,S57="-"),U57&lt;W57,OR(W57&lt;Y57,Y57="-"),OR(Y57&lt;AA57,Y57="-"),OR(AA57&lt;AC57,AA57="-"),AC57&lt;AE57,OR(AE57&lt;AG57,AG57="-"),OR(AG57&lt;AI57,AG57="-"),OR(AI57&lt;AK57,AI57="-"),AK57&lt;AM57,AM57&lt;AO57,AO57&lt;AQ57,AQ57&lt;AS57,AS57&lt;AU57,OR(AU57&lt;AW57,AW57="-"),OR(AW57&lt;AY57,AW57="-"))</f>
        <v>1</v>
      </c>
      <c r="BC57" s="23">
        <f t="shared" ref="BC57" si="309">_xlfn.AGGREGATE(9,6,CH57:CS57)-_xlfn.AGGREGATE(9,6,BV57:CG57)+12</f>
        <v>266</v>
      </c>
      <c r="BD57" s="5" t="s">
        <v>23</v>
      </c>
      <c r="BE57" s="3" t="s">
        <v>1370</v>
      </c>
      <c r="BF57" s="118">
        <v>2.14</v>
      </c>
      <c r="BG57" s="49" t="s">
        <v>1</v>
      </c>
      <c r="BH57" s="49" t="s">
        <v>1</v>
      </c>
      <c r="BI57" s="1"/>
      <c r="BJ57" s="70" t="s">
        <v>1283</v>
      </c>
      <c r="BK57" s="57" t="s">
        <v>1283</v>
      </c>
      <c r="BL57" s="57" t="s">
        <v>1283</v>
      </c>
      <c r="BM57" s="57" t="s">
        <v>1283</v>
      </c>
      <c r="BN57" s="57" t="s">
        <v>1283</v>
      </c>
      <c r="BO57" s="57" t="s">
        <v>1283</v>
      </c>
      <c r="BP57" s="57" t="s">
        <v>1283</v>
      </c>
      <c r="BQ57" s="57" t="s">
        <v>1283</v>
      </c>
      <c r="BR57" s="57" t="s">
        <v>1283</v>
      </c>
      <c r="BS57" s="57" t="s">
        <v>1283</v>
      </c>
      <c r="BT57" s="57" t="s">
        <v>1283</v>
      </c>
      <c r="BU57" s="57" t="s">
        <v>1283</v>
      </c>
      <c r="BV57" s="70">
        <f t="shared" ref="BV57" si="310">E57</f>
        <v>10</v>
      </c>
      <c r="BW57" s="71">
        <f t="shared" ref="BW57" si="311">I57</f>
        <v>44</v>
      </c>
      <c r="BX57" s="72">
        <f t="shared" ref="BX57" si="312">M57</f>
        <v>48</v>
      </c>
      <c r="BY57" s="71">
        <f t="shared" ref="BY57" si="313">Q57</f>
        <v>79</v>
      </c>
      <c r="BZ57" s="72">
        <f t="shared" ref="BZ57" si="314">U57</f>
        <v>82</v>
      </c>
      <c r="CA57" s="71">
        <f t="shared" ref="CA57" si="315">Y57</f>
        <v>118</v>
      </c>
      <c r="CB57" s="72">
        <f t="shared" ref="CB57" si="316">AC57</f>
        <v>126</v>
      </c>
      <c r="CC57" s="71">
        <f t="shared" ref="CC57" si="317">AG57</f>
        <v>175</v>
      </c>
      <c r="CD57" s="72">
        <f t="shared" ref="CD57" si="318">AK57</f>
        <v>182</v>
      </c>
      <c r="CE57" s="71">
        <f t="shared" ref="CE57" si="319">AO57</f>
        <v>324</v>
      </c>
      <c r="CF57" s="72">
        <f t="shared" ref="CF57" si="320">AS57</f>
        <v>371</v>
      </c>
      <c r="CG57" s="71">
        <f t="shared" ref="CG57" si="321">AW57</f>
        <v>397</v>
      </c>
      <c r="CH57" s="70">
        <f t="shared" ref="CH57" si="322">G57</f>
        <v>43</v>
      </c>
      <c r="CI57" s="71">
        <f t="shared" ref="CI57" si="323">K57</f>
        <v>47</v>
      </c>
      <c r="CJ57" s="72">
        <f t="shared" ref="CJ57" si="324">O57</f>
        <v>78</v>
      </c>
      <c r="CK57" s="72">
        <f t="shared" ref="CK57" si="325">S57</f>
        <v>81</v>
      </c>
      <c r="CL57" s="72">
        <f t="shared" ref="CL57" si="326">W57</f>
        <v>117</v>
      </c>
      <c r="CM57" s="72">
        <f t="shared" ref="CM57" si="327">AA57</f>
        <v>125</v>
      </c>
      <c r="CN57" s="72">
        <f t="shared" ref="CN57" si="328">AE57</f>
        <v>151</v>
      </c>
      <c r="CO57" s="72">
        <f t="shared" ref="CO57" si="329">AI57</f>
        <v>177</v>
      </c>
      <c r="CP57" s="72">
        <f t="shared" ref="CP57" si="330">AM57</f>
        <v>222</v>
      </c>
      <c r="CQ57" s="72">
        <f t="shared" ref="CQ57" si="331">AQ57</f>
        <v>364</v>
      </c>
      <c r="CR57" s="72">
        <f t="shared" ref="CR57" si="332">AU57</f>
        <v>396</v>
      </c>
      <c r="CS57" s="72">
        <f t="shared" ref="CS57" si="333">AY57</f>
        <v>409</v>
      </c>
      <c r="CT57" s="23">
        <f t="shared" ref="CT57" si="334">M57-K57</f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aa2ar_human_5VRA</v>
      </c>
      <c r="B58" s="3" t="s">
        <v>139</v>
      </c>
      <c r="C58" s="3" t="s">
        <v>1445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H</v>
      </c>
      <c r="AY58" s="3">
        <v>306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263</v>
      </c>
      <c r="BD58" s="5" t="s">
        <v>23</v>
      </c>
      <c r="BE58" s="3" t="s">
        <v>1370</v>
      </c>
      <c r="BF58" s="118">
        <v>2.35</v>
      </c>
      <c r="BG58" s="49" t="s">
        <v>1</v>
      </c>
      <c r="BH58" s="49" t="s">
        <v>1</v>
      </c>
      <c r="BI58" s="1"/>
      <c r="BJ58" s="70" t="s">
        <v>1283</v>
      </c>
      <c r="BK58" s="57" t="s">
        <v>1283</v>
      </c>
      <c r="BL58" s="57" t="s">
        <v>1283</v>
      </c>
      <c r="BM58" s="57" t="s">
        <v>1283</v>
      </c>
      <c r="BN58" s="57" t="s">
        <v>1283</v>
      </c>
      <c r="BO58" s="57" t="s">
        <v>1283</v>
      </c>
      <c r="BP58" s="57" t="s">
        <v>1283</v>
      </c>
      <c r="BQ58" s="57" t="s">
        <v>1283</v>
      </c>
      <c r="BR58" s="57" t="s">
        <v>1283</v>
      </c>
      <c r="BS58" s="57" t="s">
        <v>1283</v>
      </c>
      <c r="BT58" s="57" t="s">
        <v>1283</v>
      </c>
      <c r="BU58" s="57" t="s">
        <v>1283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306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aa2ar_human_5OLG</v>
      </c>
      <c r="B59" s="3" t="s">
        <v>139</v>
      </c>
      <c r="C59" s="3" t="s">
        <v>1450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1370</v>
      </c>
      <c r="BF59" s="118">
        <v>1.87</v>
      </c>
      <c r="BG59" s="49" t="s">
        <v>1</v>
      </c>
      <c r="BH59" s="49" t="s">
        <v>1</v>
      </c>
      <c r="BI59" s="1"/>
      <c r="BJ59" s="70" t="s">
        <v>1283</v>
      </c>
      <c r="BK59" s="57" t="s">
        <v>1283</v>
      </c>
      <c r="BL59" s="57" t="s">
        <v>1283</v>
      </c>
      <c r="BM59" s="57" t="s">
        <v>1283</v>
      </c>
      <c r="BN59" s="57" t="s">
        <v>1283</v>
      </c>
      <c r="BO59" s="57" t="s">
        <v>1283</v>
      </c>
      <c r="BP59" s="57" t="s">
        <v>1283</v>
      </c>
      <c r="BQ59" s="57" t="s">
        <v>1283</v>
      </c>
      <c r="BR59" s="57" t="s">
        <v>1283</v>
      </c>
      <c r="BS59" s="57" t="s">
        <v>1283</v>
      </c>
      <c r="BT59" s="57" t="s">
        <v>1283</v>
      </c>
      <c r="BU59" s="57" t="s">
        <v>1283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aa2ar_human_5OLH</v>
      </c>
      <c r="B60" s="3" t="s">
        <v>139</v>
      </c>
      <c r="C60" s="3" t="s">
        <v>1451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1370</v>
      </c>
      <c r="BF60" s="118">
        <v>2.6</v>
      </c>
      <c r="BG60" s="49" t="s">
        <v>1</v>
      </c>
      <c r="BH60" s="49" t="s">
        <v>1</v>
      </c>
      <c r="BI60" s="1"/>
      <c r="BJ60" s="70" t="s">
        <v>1283</v>
      </c>
      <c r="BK60" s="57" t="s">
        <v>1283</v>
      </c>
      <c r="BL60" s="57" t="s">
        <v>1283</v>
      </c>
      <c r="BM60" s="57" t="s">
        <v>1283</v>
      </c>
      <c r="BN60" s="57" t="s">
        <v>1283</v>
      </c>
      <c r="BO60" s="57" t="s">
        <v>1283</v>
      </c>
      <c r="BP60" s="57" t="s">
        <v>1283</v>
      </c>
      <c r="BQ60" s="57" t="s">
        <v>1283</v>
      </c>
      <c r="BR60" s="57" t="s">
        <v>1283</v>
      </c>
      <c r="BS60" s="57" t="s">
        <v>1283</v>
      </c>
      <c r="BT60" s="57" t="s">
        <v>1283</v>
      </c>
      <c r="BU60" s="57" t="s">
        <v>1283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aa2ar_human_5OLO</v>
      </c>
      <c r="B61" s="3" t="s">
        <v>139</v>
      </c>
      <c r="C61" s="3" t="s">
        <v>1452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1370</v>
      </c>
      <c r="BF61" s="118">
        <v>3.1</v>
      </c>
      <c r="BG61" s="49" t="s">
        <v>1</v>
      </c>
      <c r="BH61" s="49" t="s">
        <v>1</v>
      </c>
      <c r="BI61" s="1"/>
      <c r="BJ61" s="70" t="s">
        <v>1283</v>
      </c>
      <c r="BK61" s="57" t="s">
        <v>1283</v>
      </c>
      <c r="BL61" s="57" t="s">
        <v>1283</v>
      </c>
      <c r="BM61" s="57" t="s">
        <v>1283</v>
      </c>
      <c r="BN61" s="57" t="s">
        <v>1283</v>
      </c>
      <c r="BO61" s="57" t="s">
        <v>1283</v>
      </c>
      <c r="BP61" s="57" t="s">
        <v>1283</v>
      </c>
      <c r="BQ61" s="57" t="s">
        <v>1283</v>
      </c>
      <c r="BR61" s="57" t="s">
        <v>1283</v>
      </c>
      <c r="BS61" s="57" t="s">
        <v>1283</v>
      </c>
      <c r="BT61" s="57" t="s">
        <v>1283</v>
      </c>
      <c r="BU61" s="57" t="s">
        <v>1283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aa2ar_human_5OLV</v>
      </c>
      <c r="B62" s="3" t="s">
        <v>139</v>
      </c>
      <c r="C62" s="3" t="s">
        <v>1453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1370</v>
      </c>
      <c r="BF62" s="118">
        <v>2</v>
      </c>
      <c r="BG62" s="49" t="s">
        <v>1</v>
      </c>
      <c r="BH62" s="49" t="s">
        <v>1</v>
      </c>
      <c r="BI62" s="1"/>
      <c r="BJ62" s="70" t="s">
        <v>1283</v>
      </c>
      <c r="BK62" s="57" t="s">
        <v>1283</v>
      </c>
      <c r="BL62" s="57" t="s">
        <v>1283</v>
      </c>
      <c r="BM62" s="57" t="s">
        <v>1283</v>
      </c>
      <c r="BN62" s="57" t="s">
        <v>1283</v>
      </c>
      <c r="BO62" s="57" t="s">
        <v>1283</v>
      </c>
      <c r="BP62" s="57" t="s">
        <v>1283</v>
      </c>
      <c r="BQ62" s="57" t="s">
        <v>1283</v>
      </c>
      <c r="BR62" s="57" t="s">
        <v>1283</v>
      </c>
      <c r="BS62" s="57" t="s">
        <v>1283</v>
      </c>
      <c r="BT62" s="57" t="s">
        <v>1283</v>
      </c>
      <c r="BU62" s="57" t="s">
        <v>1283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aa2ar_human_5OLZ</v>
      </c>
      <c r="B63" s="3" t="s">
        <v>139</v>
      </c>
      <c r="C63" s="3" t="s">
        <v>1454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1370</v>
      </c>
      <c r="BF63" s="118">
        <v>1.9</v>
      </c>
      <c r="BG63" s="49" t="s">
        <v>1</v>
      </c>
      <c r="BH63" s="49" t="s">
        <v>1</v>
      </c>
      <c r="BI63" s="1"/>
      <c r="BJ63" s="70" t="s">
        <v>1283</v>
      </c>
      <c r="BK63" s="57" t="s">
        <v>1283</v>
      </c>
      <c r="BL63" s="57" t="s">
        <v>1283</v>
      </c>
      <c r="BM63" s="57" t="s">
        <v>1283</v>
      </c>
      <c r="BN63" s="57" t="s">
        <v>1283</v>
      </c>
      <c r="BO63" s="57" t="s">
        <v>1283</v>
      </c>
      <c r="BP63" s="57" t="s">
        <v>1283</v>
      </c>
      <c r="BQ63" s="57" t="s">
        <v>1283</v>
      </c>
      <c r="BR63" s="57" t="s">
        <v>1283</v>
      </c>
      <c r="BS63" s="57" t="s">
        <v>1283</v>
      </c>
      <c r="BT63" s="57" t="s">
        <v>1283</v>
      </c>
      <c r="BU63" s="57" t="s">
        <v>1283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aa2ar_human_5OM1</v>
      </c>
      <c r="B64" s="3" t="s">
        <v>139</v>
      </c>
      <c r="C64" s="3" t="s">
        <v>1455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S</v>
      </c>
      <c r="AY64" s="3">
        <v>305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262</v>
      </c>
      <c r="BD64" s="5" t="s">
        <v>23</v>
      </c>
      <c r="BE64" s="3" t="s">
        <v>1370</v>
      </c>
      <c r="BF64" s="118">
        <v>2.1</v>
      </c>
      <c r="BG64" s="49" t="s">
        <v>1</v>
      </c>
      <c r="BH64" s="49" t="s">
        <v>1</v>
      </c>
      <c r="BI64" s="1"/>
      <c r="BJ64" s="70" t="s">
        <v>1283</v>
      </c>
      <c r="BK64" s="57" t="s">
        <v>1283</v>
      </c>
      <c r="BL64" s="57" t="s">
        <v>1283</v>
      </c>
      <c r="BM64" s="57" t="s">
        <v>1283</v>
      </c>
      <c r="BN64" s="57" t="s">
        <v>1283</v>
      </c>
      <c r="BO64" s="57" t="s">
        <v>1283</v>
      </c>
      <c r="BP64" s="57" t="s">
        <v>1283</v>
      </c>
      <c r="BQ64" s="57" t="s">
        <v>1283</v>
      </c>
      <c r="BR64" s="57" t="s">
        <v>1283</v>
      </c>
      <c r="BS64" s="57" t="s">
        <v>1283</v>
      </c>
      <c r="BT64" s="57" t="s">
        <v>1283</v>
      </c>
      <c r="BU64" s="57" t="s">
        <v>1283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305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aa2ar_human_5OM4</v>
      </c>
      <c r="B65" s="3" t="s">
        <v>139</v>
      </c>
      <c r="C65" s="3" t="s">
        <v>1456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V</v>
      </c>
      <c r="AY65" s="3">
        <v>307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264</v>
      </c>
      <c r="BD65" s="5" t="s">
        <v>23</v>
      </c>
      <c r="BE65" s="3" t="s">
        <v>1370</v>
      </c>
      <c r="BF65" s="118">
        <v>2</v>
      </c>
      <c r="BG65" s="49" t="s">
        <v>1</v>
      </c>
      <c r="BH65" s="49" t="s">
        <v>1</v>
      </c>
      <c r="BI65" s="1"/>
      <c r="BJ65" s="70" t="s">
        <v>1283</v>
      </c>
      <c r="BK65" s="57" t="s">
        <v>1283</v>
      </c>
      <c r="BL65" s="57" t="s">
        <v>1283</v>
      </c>
      <c r="BM65" s="57" t="s">
        <v>1283</v>
      </c>
      <c r="BN65" s="57" t="s">
        <v>1283</v>
      </c>
      <c r="BO65" s="57" t="s">
        <v>1283</v>
      </c>
      <c r="BP65" s="57" t="s">
        <v>1283</v>
      </c>
      <c r="BQ65" s="57" t="s">
        <v>1283</v>
      </c>
      <c r="BR65" s="57" t="s">
        <v>1283</v>
      </c>
      <c r="BS65" s="57" t="s">
        <v>1283</v>
      </c>
      <c r="BT65" s="57" t="s">
        <v>1283</v>
      </c>
      <c r="BU65" s="57" t="s">
        <v>1283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307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aa2ar_human_6AQF</v>
      </c>
      <c r="B66" s="3" t="s">
        <v>139</v>
      </c>
      <c r="C66" s="3" t="s">
        <v>1457</v>
      </c>
      <c r="D66" s="3" t="str">
        <f>IFERROR(MID(VLOOKUP($B66,Seqs!$A:$B,2,0),E66,1),"")</f>
        <v>M</v>
      </c>
      <c r="E66" s="3">
        <v>1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G</v>
      </c>
      <c r="O66" s="3">
        <v>69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L</v>
      </c>
      <c r="AM66" s="3">
        <v>208</v>
      </c>
      <c r="AN66" s="3" t="str">
        <f>IFERROR(MID(VLOOKUP($B66,Seqs!$A:$B,2,0),AO66,1),"")</f>
        <v>E</v>
      </c>
      <c r="AO66" s="3">
        <v>219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H</v>
      </c>
      <c r="AY66" s="3">
        <v>306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263</v>
      </c>
      <c r="BD66" s="5" t="s">
        <v>23</v>
      </c>
      <c r="BE66" s="3" t="s">
        <v>1370</v>
      </c>
      <c r="BF66" s="118">
        <v>2.5099999999999998</v>
      </c>
      <c r="BG66" s="49" t="s">
        <v>1</v>
      </c>
      <c r="BH66" s="49" t="s">
        <v>1</v>
      </c>
      <c r="BI66" s="1"/>
      <c r="BJ66" s="70" t="s">
        <v>1283</v>
      </c>
      <c r="BK66" s="57" t="s">
        <v>1283</v>
      </c>
      <c r="BL66" s="57" t="s">
        <v>1283</v>
      </c>
      <c r="BM66" s="57" t="s">
        <v>1283</v>
      </c>
      <c r="BN66" s="57" t="s">
        <v>1283</v>
      </c>
      <c r="BO66" s="57" t="s">
        <v>1283</v>
      </c>
      <c r="BP66" s="57" t="s">
        <v>1283</v>
      </c>
      <c r="BQ66" s="57" t="s">
        <v>1283</v>
      </c>
      <c r="BR66" s="57" t="s">
        <v>1283</v>
      </c>
      <c r="BS66" s="57" t="s">
        <v>1283</v>
      </c>
      <c r="BT66" s="57" t="s">
        <v>1283</v>
      </c>
      <c r="BU66" s="57" t="s">
        <v>1283</v>
      </c>
      <c r="BV66" s="70">
        <f t="shared" si="254"/>
        <v>1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219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69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208</v>
      </c>
      <c r="CQ66" s="72">
        <f t="shared" si="275"/>
        <v>259</v>
      </c>
      <c r="CR66" s="72">
        <f t="shared" si="276"/>
        <v>291</v>
      </c>
      <c r="CS66" s="72">
        <f t="shared" si="277"/>
        <v>306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aa2ar_human_5WF5</v>
      </c>
      <c r="B67" s="3" t="s">
        <v>139</v>
      </c>
      <c r="C67" s="3" t="s">
        <v>1466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1467</v>
      </c>
      <c r="BF67" s="118">
        <v>2.6</v>
      </c>
      <c r="BG67" s="49" t="s">
        <v>1</v>
      </c>
      <c r="BH67" s="49" t="s">
        <v>1</v>
      </c>
      <c r="BI67" s="1"/>
      <c r="BJ67" s="70" t="s">
        <v>1283</v>
      </c>
      <c r="BK67" s="57" t="s">
        <v>1283</v>
      </c>
      <c r="BL67" s="57" t="s">
        <v>1283</v>
      </c>
      <c r="BM67" s="57" t="s">
        <v>1283</v>
      </c>
      <c r="BN67" s="57" t="s">
        <v>1283</v>
      </c>
      <c r="BO67" s="57" t="s">
        <v>1283</v>
      </c>
      <c r="BP67" s="57" t="s">
        <v>1283</v>
      </c>
      <c r="BQ67" s="57" t="s">
        <v>1283</v>
      </c>
      <c r="BR67" s="57" t="s">
        <v>1283</v>
      </c>
      <c r="BS67" s="57" t="s">
        <v>1283</v>
      </c>
      <c r="BT67" s="57" t="s">
        <v>1283</v>
      </c>
      <c r="BU67" s="57" t="s">
        <v>1283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aa2ar_human_5WF6</v>
      </c>
      <c r="B68" s="3" t="s">
        <v>139</v>
      </c>
      <c r="C68" s="3" t="s">
        <v>1468</v>
      </c>
      <c r="D68" s="3" t="str">
        <f>IFERROR(MID(VLOOKUP($B68,Seqs!$A:$B,2,0),E68,1),"")</f>
        <v>M</v>
      </c>
      <c r="E68" s="3">
        <v>4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A</v>
      </c>
      <c r="O68" s="3">
        <v>63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G</v>
      </c>
      <c r="AE68" s="3">
        <v>142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R</v>
      </c>
      <c r="AM68" s="3">
        <v>205</v>
      </c>
      <c r="AN68" s="3" t="str">
        <f>IFERROR(MID(VLOOKUP($B68,Seqs!$A:$B,2,0),AO68,1),"")</f>
        <v>L</v>
      </c>
      <c r="AO68" s="3">
        <v>225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V</v>
      </c>
      <c r="AY68" s="3">
        <v>307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246</v>
      </c>
      <c r="BD68" s="5" t="s">
        <v>23</v>
      </c>
      <c r="BE68" s="3" t="s">
        <v>1467</v>
      </c>
      <c r="BF68" s="118">
        <v>2.9</v>
      </c>
      <c r="BG68" s="49" t="s">
        <v>1</v>
      </c>
      <c r="BH68" s="49" t="s">
        <v>1</v>
      </c>
      <c r="BI68" s="1"/>
      <c r="BJ68" s="70" t="s">
        <v>1283</v>
      </c>
      <c r="BK68" s="57" t="s">
        <v>1283</v>
      </c>
      <c r="BL68" s="57" t="s">
        <v>1283</v>
      </c>
      <c r="BM68" s="57" t="s">
        <v>1283</v>
      </c>
      <c r="BN68" s="57" t="s">
        <v>1283</v>
      </c>
      <c r="BO68" s="57" t="s">
        <v>1283</v>
      </c>
      <c r="BP68" s="57" t="s">
        <v>1283</v>
      </c>
      <c r="BQ68" s="57" t="s">
        <v>1283</v>
      </c>
      <c r="BR68" s="57" t="s">
        <v>1283</v>
      </c>
      <c r="BS68" s="57" t="s">
        <v>1283</v>
      </c>
      <c r="BT68" s="57" t="s">
        <v>1283</v>
      </c>
      <c r="BU68" s="57" t="s">
        <v>1283</v>
      </c>
      <c r="BV68" s="70">
        <f t="shared" si="254"/>
        <v>4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225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63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142</v>
      </c>
      <c r="CO68" s="72">
        <f t="shared" si="273"/>
        <v>168</v>
      </c>
      <c r="CP68" s="72">
        <f t="shared" si="274"/>
        <v>205</v>
      </c>
      <c r="CQ68" s="72">
        <f t="shared" si="275"/>
        <v>259</v>
      </c>
      <c r="CR68" s="72">
        <f t="shared" si="276"/>
        <v>291</v>
      </c>
      <c r="CS68" s="72">
        <f t="shared" si="277"/>
        <v>307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51"/>
        <v>aa2ar_human_6GDG</v>
      </c>
      <c r="B69" s="3" t="s">
        <v>139</v>
      </c>
      <c r="C69" s="3" t="s">
        <v>1488</v>
      </c>
      <c r="D69" s="3" t="str">
        <f>IFERROR(MID(VLOOKUP($B69,Seqs!$A:$B,2,0),E69,1),"")</f>
        <v>V</v>
      </c>
      <c r="E69" s="3">
        <v>8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L</v>
      </c>
      <c r="AE69" s="3">
        <v>141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T</v>
      </c>
      <c r="AO69" s="3">
        <v>224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F</v>
      </c>
      <c r="AY69" s="3">
        <v>299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si="252"/>
        <v>1</v>
      </c>
      <c r="BC69" s="23">
        <f t="shared" si="253"/>
        <v>243</v>
      </c>
      <c r="BD69" s="5" t="s">
        <v>23</v>
      </c>
      <c r="BE69" s="3" t="s">
        <v>1287</v>
      </c>
      <c r="BF69" s="118">
        <v>4.1100000000000003</v>
      </c>
      <c r="BG69" s="49" t="s">
        <v>1</v>
      </c>
      <c r="BH69" s="49" t="s">
        <v>1</v>
      </c>
      <c r="BI69" s="1"/>
      <c r="BJ69" s="70" t="s">
        <v>1283</v>
      </c>
      <c r="BK69" s="57" t="s">
        <v>1283</v>
      </c>
      <c r="BL69" s="57" t="s">
        <v>1283</v>
      </c>
      <c r="BM69" s="57" t="s">
        <v>1283</v>
      </c>
      <c r="BN69" s="57" t="s">
        <v>1283</v>
      </c>
      <c r="BO69" s="57" t="s">
        <v>1283</v>
      </c>
      <c r="BP69" s="57" t="s">
        <v>1283</v>
      </c>
      <c r="BQ69" s="57" t="s">
        <v>1283</v>
      </c>
      <c r="BR69" s="57" t="s">
        <v>1283</v>
      </c>
      <c r="BS69" s="57" t="s">
        <v>1283</v>
      </c>
      <c r="BT69" s="57" t="s">
        <v>1283</v>
      </c>
      <c r="BU69" s="57" t="s">
        <v>1283</v>
      </c>
      <c r="BV69" s="70">
        <f t="shared" si="254"/>
        <v>8</v>
      </c>
      <c r="BW69" s="71">
        <f t="shared" si="255"/>
        <v>35</v>
      </c>
      <c r="BX69" s="72">
        <f t="shared" si="256"/>
        <v>39</v>
      </c>
      <c r="BY69" s="71">
        <f t="shared" si="257"/>
        <v>70</v>
      </c>
      <c r="BZ69" s="72">
        <f t="shared" si="258"/>
        <v>73</v>
      </c>
      <c r="CA69" s="71">
        <f t="shared" si="259"/>
        <v>109</v>
      </c>
      <c r="CB69" s="72">
        <f t="shared" si="260"/>
        <v>117</v>
      </c>
      <c r="CC69" s="71">
        <f t="shared" si="261"/>
        <v>166</v>
      </c>
      <c r="CD69" s="72">
        <f t="shared" si="262"/>
        <v>173</v>
      </c>
      <c r="CE69" s="71">
        <f t="shared" si="263"/>
        <v>224</v>
      </c>
      <c r="CF69" s="72">
        <f t="shared" si="264"/>
        <v>266</v>
      </c>
      <c r="CG69" s="71">
        <f t="shared" si="265"/>
        <v>292</v>
      </c>
      <c r="CH69" s="70">
        <f t="shared" si="266"/>
        <v>34</v>
      </c>
      <c r="CI69" s="71">
        <f t="shared" si="267"/>
        <v>38</v>
      </c>
      <c r="CJ69" s="72">
        <f t="shared" si="268"/>
        <v>69</v>
      </c>
      <c r="CK69" s="72">
        <f t="shared" si="269"/>
        <v>72</v>
      </c>
      <c r="CL69" s="72">
        <f t="shared" si="270"/>
        <v>108</v>
      </c>
      <c r="CM69" s="72">
        <f t="shared" si="271"/>
        <v>116</v>
      </c>
      <c r="CN69" s="72">
        <f t="shared" si="272"/>
        <v>141</v>
      </c>
      <c r="CO69" s="72">
        <f t="shared" si="273"/>
        <v>168</v>
      </c>
      <c r="CP69" s="72">
        <f t="shared" si="274"/>
        <v>208</v>
      </c>
      <c r="CQ69" s="72">
        <f t="shared" si="275"/>
        <v>259</v>
      </c>
      <c r="CR69" s="72">
        <f t="shared" si="276"/>
        <v>291</v>
      </c>
      <c r="CS69" s="72">
        <f t="shared" si="277"/>
        <v>299</v>
      </c>
      <c r="CT69" s="23">
        <f t="shared" si="278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ref="A70" si="335">CONCATENATE(B70,"_",C70)</f>
        <v>aa2ar_human_6MH8</v>
      </c>
      <c r="B70" s="3" t="s">
        <v>139</v>
      </c>
      <c r="C70" s="3" t="s">
        <v>1568</v>
      </c>
      <c r="D70" s="3" t="str">
        <f>IFERROR(MID(VLOOKUP($B70,Seqs!$A:$B,2,0),E70,1),"")</f>
        <v>M</v>
      </c>
      <c r="E70" s="3">
        <v>1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G</v>
      </c>
      <c r="O70" s="3">
        <v>69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L</v>
      </c>
      <c r="AM70" s="3">
        <v>208</v>
      </c>
      <c r="AN70" s="3" t="str">
        <f>IFERROR(MID(VLOOKUP($B70,Seqs!$A:$B,2,0),AO70,1),"")</f>
        <v>E</v>
      </c>
      <c r="AO70" s="3">
        <v>219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H</v>
      </c>
      <c r="AY70" s="3">
        <v>306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ref="BB70" si="33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23">
        <f t="shared" ref="BC70" si="337">_xlfn.AGGREGATE(9,6,CH70:CS70)-_xlfn.AGGREGATE(9,6,BV70:CG70)+12</f>
        <v>263</v>
      </c>
      <c r="BD70" s="5" t="s">
        <v>23</v>
      </c>
      <c r="BE70" s="3" t="s">
        <v>1370</v>
      </c>
      <c r="BF70" s="118">
        <v>4.2</v>
      </c>
      <c r="BG70" s="49" t="s">
        <v>1</v>
      </c>
      <c r="BH70" s="49" t="s">
        <v>1</v>
      </c>
      <c r="BI70" s="1"/>
      <c r="BJ70" s="70" t="s">
        <v>1283</v>
      </c>
      <c r="BK70" s="57" t="s">
        <v>1283</v>
      </c>
      <c r="BL70" s="57" t="s">
        <v>1283</v>
      </c>
      <c r="BM70" s="57" t="s">
        <v>1283</v>
      </c>
      <c r="BN70" s="57" t="s">
        <v>1283</v>
      </c>
      <c r="BO70" s="57" t="s">
        <v>1283</v>
      </c>
      <c r="BP70" s="57" t="s">
        <v>1283</v>
      </c>
      <c r="BQ70" s="57" t="s">
        <v>1283</v>
      </c>
      <c r="BR70" s="57" t="s">
        <v>1283</v>
      </c>
      <c r="BS70" s="57" t="s">
        <v>1283</v>
      </c>
      <c r="BT70" s="57" t="s">
        <v>1283</v>
      </c>
      <c r="BU70" s="57" t="s">
        <v>1283</v>
      </c>
      <c r="BV70" s="70">
        <f t="shared" ref="BV70" si="338">E70</f>
        <v>1</v>
      </c>
      <c r="BW70" s="71">
        <f t="shared" ref="BW70" si="339">I70</f>
        <v>35</v>
      </c>
      <c r="BX70" s="72">
        <f t="shared" ref="BX70" si="340">M70</f>
        <v>39</v>
      </c>
      <c r="BY70" s="71">
        <f t="shared" ref="BY70" si="341">Q70</f>
        <v>70</v>
      </c>
      <c r="BZ70" s="72">
        <f t="shared" ref="BZ70" si="342">U70</f>
        <v>73</v>
      </c>
      <c r="CA70" s="71">
        <f t="shared" ref="CA70" si="343">Y70</f>
        <v>109</v>
      </c>
      <c r="CB70" s="72">
        <f t="shared" ref="CB70" si="344">AC70</f>
        <v>117</v>
      </c>
      <c r="CC70" s="71">
        <f t="shared" ref="CC70" si="345">AG70</f>
        <v>166</v>
      </c>
      <c r="CD70" s="72">
        <f t="shared" ref="CD70" si="346">AK70</f>
        <v>173</v>
      </c>
      <c r="CE70" s="71">
        <f t="shared" ref="CE70" si="347">AO70</f>
        <v>219</v>
      </c>
      <c r="CF70" s="72">
        <f t="shared" ref="CF70" si="348">AS70</f>
        <v>266</v>
      </c>
      <c r="CG70" s="71">
        <f t="shared" ref="CG70" si="349">AW70</f>
        <v>292</v>
      </c>
      <c r="CH70" s="70">
        <f t="shared" ref="CH70" si="350">G70</f>
        <v>34</v>
      </c>
      <c r="CI70" s="71">
        <f t="shared" ref="CI70" si="351">K70</f>
        <v>38</v>
      </c>
      <c r="CJ70" s="72">
        <f t="shared" ref="CJ70" si="352">O70</f>
        <v>69</v>
      </c>
      <c r="CK70" s="72">
        <f t="shared" ref="CK70" si="353">S70</f>
        <v>72</v>
      </c>
      <c r="CL70" s="72">
        <f t="shared" ref="CL70" si="354">W70</f>
        <v>108</v>
      </c>
      <c r="CM70" s="72">
        <f t="shared" ref="CM70" si="355">AA70</f>
        <v>116</v>
      </c>
      <c r="CN70" s="72">
        <f t="shared" ref="CN70" si="356">AE70</f>
        <v>142</v>
      </c>
      <c r="CO70" s="72">
        <f t="shared" ref="CO70" si="357">AI70</f>
        <v>168</v>
      </c>
      <c r="CP70" s="72">
        <f t="shared" ref="CP70" si="358">AM70</f>
        <v>208</v>
      </c>
      <c r="CQ70" s="72">
        <f t="shared" ref="CQ70" si="359">AQ70</f>
        <v>259</v>
      </c>
      <c r="CR70" s="72">
        <f t="shared" ref="CR70" si="360">AU70</f>
        <v>291</v>
      </c>
      <c r="CS70" s="72">
        <f t="shared" ref="CS70" si="361">AY70</f>
        <v>306</v>
      </c>
      <c r="CT70" s="23">
        <f t="shared" ref="CT70" si="362">M70-K70</f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" si="363">CONCATENATE(B71,"_",C71)</f>
        <v>aa2ar_human_6MH9</v>
      </c>
      <c r="B71" s="3" t="s">
        <v>139</v>
      </c>
      <c r="C71" s="3" t="s">
        <v>1578</v>
      </c>
      <c r="D71" s="3" t="str">
        <f>IFERROR(MID(VLOOKUP($B71,Seqs!$A:$B,2,0),E71,1),"")</f>
        <v>M</v>
      </c>
      <c r="E71" s="3">
        <v>1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G</v>
      </c>
      <c r="O71" s="3">
        <v>69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L</v>
      </c>
      <c r="AM71" s="3">
        <v>208</v>
      </c>
      <c r="AN71" s="3" t="str">
        <f>IFERROR(MID(VLOOKUP($B71,Seqs!$A:$B,2,0),AO71,1),"")</f>
        <v>E</v>
      </c>
      <c r="AO71" s="3">
        <v>219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H</v>
      </c>
      <c r="AY71" s="3">
        <v>306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ref="BB71" si="36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ref="BC71" si="365">_xlfn.AGGREGATE(9,6,CH71:CS71)-_xlfn.AGGREGATE(9,6,BV71:CG71)+12</f>
        <v>263</v>
      </c>
      <c r="BD71" s="5" t="s">
        <v>23</v>
      </c>
      <c r="BE71" s="3" t="s">
        <v>1370</v>
      </c>
      <c r="BF71" s="118">
        <v>2</v>
      </c>
      <c r="BG71" s="49" t="s">
        <v>1</v>
      </c>
      <c r="BH71" s="49" t="s">
        <v>1</v>
      </c>
      <c r="BI71" s="1"/>
      <c r="BJ71" s="70" t="s">
        <v>1283</v>
      </c>
      <c r="BK71" s="57" t="s">
        <v>1283</v>
      </c>
      <c r="BL71" s="57" t="s">
        <v>1283</v>
      </c>
      <c r="BM71" s="57" t="s">
        <v>1283</v>
      </c>
      <c r="BN71" s="57" t="s">
        <v>1283</v>
      </c>
      <c r="BO71" s="57" t="s">
        <v>1283</v>
      </c>
      <c r="BP71" s="57" t="s">
        <v>1283</v>
      </c>
      <c r="BQ71" s="57" t="s">
        <v>1283</v>
      </c>
      <c r="BR71" s="57" t="s">
        <v>1283</v>
      </c>
      <c r="BS71" s="57" t="s">
        <v>1283</v>
      </c>
      <c r="BT71" s="57" t="s">
        <v>1283</v>
      </c>
      <c r="BU71" s="57" t="s">
        <v>1283</v>
      </c>
      <c r="BV71" s="70">
        <f t="shared" ref="BV71" si="366">E71</f>
        <v>1</v>
      </c>
      <c r="BW71" s="71">
        <f t="shared" ref="BW71" si="367">I71</f>
        <v>35</v>
      </c>
      <c r="BX71" s="72">
        <f t="shared" ref="BX71" si="368">M71</f>
        <v>39</v>
      </c>
      <c r="BY71" s="71">
        <f t="shared" ref="BY71" si="369">Q71</f>
        <v>70</v>
      </c>
      <c r="BZ71" s="72">
        <f t="shared" ref="BZ71" si="370">U71</f>
        <v>73</v>
      </c>
      <c r="CA71" s="71">
        <f t="shared" ref="CA71" si="371">Y71</f>
        <v>109</v>
      </c>
      <c r="CB71" s="72">
        <f t="shared" ref="CB71" si="372">AC71</f>
        <v>117</v>
      </c>
      <c r="CC71" s="71">
        <f t="shared" ref="CC71" si="373">AG71</f>
        <v>166</v>
      </c>
      <c r="CD71" s="72">
        <f t="shared" ref="CD71" si="374">AK71</f>
        <v>173</v>
      </c>
      <c r="CE71" s="71">
        <f t="shared" ref="CE71" si="375">AO71</f>
        <v>219</v>
      </c>
      <c r="CF71" s="72">
        <f t="shared" ref="CF71" si="376">AS71</f>
        <v>266</v>
      </c>
      <c r="CG71" s="71">
        <f t="shared" ref="CG71" si="377">AW71</f>
        <v>292</v>
      </c>
      <c r="CH71" s="70">
        <f t="shared" ref="CH71" si="378">G71</f>
        <v>34</v>
      </c>
      <c r="CI71" s="71">
        <f t="shared" ref="CI71" si="379">K71</f>
        <v>38</v>
      </c>
      <c r="CJ71" s="72">
        <f t="shared" ref="CJ71" si="380">O71</f>
        <v>69</v>
      </c>
      <c r="CK71" s="72">
        <f t="shared" ref="CK71" si="381">S71</f>
        <v>72</v>
      </c>
      <c r="CL71" s="72">
        <f t="shared" ref="CL71" si="382">W71</f>
        <v>108</v>
      </c>
      <c r="CM71" s="72">
        <f t="shared" ref="CM71" si="383">AA71</f>
        <v>116</v>
      </c>
      <c r="CN71" s="72">
        <f t="shared" ref="CN71" si="384">AE71</f>
        <v>142</v>
      </c>
      <c r="CO71" s="72">
        <f t="shared" ref="CO71" si="385">AI71</f>
        <v>168</v>
      </c>
      <c r="CP71" s="72">
        <f t="shared" ref="CP71" si="386">AM71</f>
        <v>208</v>
      </c>
      <c r="CQ71" s="72">
        <f t="shared" ref="CQ71" si="387">AQ71</f>
        <v>259</v>
      </c>
      <c r="CR71" s="72">
        <f t="shared" ref="CR71" si="388">AU71</f>
        <v>291</v>
      </c>
      <c r="CS71" s="72">
        <f t="shared" ref="CS71" si="389">AY71</f>
        <v>306</v>
      </c>
      <c r="CT71" s="23">
        <f t="shared" ref="CT71" si="390">M71-K71</f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" si="391">CONCATENATE(B72,"_",C72)</f>
        <v>aa2ar_human_6GT3</v>
      </c>
      <c r="B72" s="3" t="s">
        <v>139</v>
      </c>
      <c r="C72" s="3" t="s">
        <v>1585</v>
      </c>
      <c r="D72" s="3" t="str">
        <f>IFERROR(MID(VLOOKUP($B72,Seqs!$A:$B,2,0),E72,1),"")</f>
        <v>M</v>
      </c>
      <c r="E72" s="3">
        <v>1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G</v>
      </c>
      <c r="AE72" s="3">
        <v>142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E</v>
      </c>
      <c r="AO72" s="3">
        <v>219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S</v>
      </c>
      <c r="AY72" s="3">
        <v>305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ref="BB72" si="39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ref="BC72" si="393">_xlfn.AGGREGATE(9,6,CH72:CS72)-_xlfn.AGGREGATE(9,6,BV72:CG72)+12</f>
        <v>262</v>
      </c>
      <c r="BD72" s="5" t="s">
        <v>23</v>
      </c>
      <c r="BE72" s="3" t="s">
        <v>1370</v>
      </c>
      <c r="BF72" s="118">
        <v>2</v>
      </c>
      <c r="BG72" s="49" t="s">
        <v>1</v>
      </c>
      <c r="BH72" s="49" t="s">
        <v>1</v>
      </c>
      <c r="BI72" s="1"/>
      <c r="BJ72" s="70" t="s">
        <v>1283</v>
      </c>
      <c r="BK72" s="57" t="s">
        <v>1283</v>
      </c>
      <c r="BL72" s="57" t="s">
        <v>1283</v>
      </c>
      <c r="BM72" s="57" t="s">
        <v>1283</v>
      </c>
      <c r="BN72" s="57" t="s">
        <v>1283</v>
      </c>
      <c r="BO72" s="57" t="s">
        <v>1283</v>
      </c>
      <c r="BP72" s="57" t="s">
        <v>1283</v>
      </c>
      <c r="BQ72" s="57" t="s">
        <v>1283</v>
      </c>
      <c r="BR72" s="57" t="s">
        <v>1283</v>
      </c>
      <c r="BS72" s="57" t="s">
        <v>1283</v>
      </c>
      <c r="BT72" s="57" t="s">
        <v>1283</v>
      </c>
      <c r="BU72" s="57" t="s">
        <v>1283</v>
      </c>
      <c r="BV72" s="70">
        <f t="shared" ref="BV72" si="394">E72</f>
        <v>1</v>
      </c>
      <c r="BW72" s="71">
        <f t="shared" ref="BW72" si="395">I72</f>
        <v>35</v>
      </c>
      <c r="BX72" s="72">
        <f t="shared" ref="BX72" si="396">M72</f>
        <v>39</v>
      </c>
      <c r="BY72" s="71">
        <f t="shared" ref="BY72" si="397">Q72</f>
        <v>70</v>
      </c>
      <c r="BZ72" s="72">
        <f t="shared" ref="BZ72" si="398">U72</f>
        <v>73</v>
      </c>
      <c r="CA72" s="71">
        <f t="shared" ref="CA72" si="399">Y72</f>
        <v>109</v>
      </c>
      <c r="CB72" s="72">
        <f t="shared" ref="CB72" si="400">AC72</f>
        <v>117</v>
      </c>
      <c r="CC72" s="71">
        <f t="shared" ref="CC72" si="401">AG72</f>
        <v>166</v>
      </c>
      <c r="CD72" s="72">
        <f t="shared" ref="CD72" si="402">AK72</f>
        <v>173</v>
      </c>
      <c r="CE72" s="71">
        <f t="shared" ref="CE72" si="403">AO72</f>
        <v>219</v>
      </c>
      <c r="CF72" s="72">
        <f t="shared" ref="CF72" si="404">AS72</f>
        <v>266</v>
      </c>
      <c r="CG72" s="71">
        <f t="shared" ref="CG72" si="405">AW72</f>
        <v>292</v>
      </c>
      <c r="CH72" s="70">
        <f t="shared" ref="CH72" si="406">G72</f>
        <v>34</v>
      </c>
      <c r="CI72" s="71">
        <f t="shared" ref="CI72" si="407">K72</f>
        <v>38</v>
      </c>
      <c r="CJ72" s="72">
        <f t="shared" ref="CJ72" si="408">O72</f>
        <v>69</v>
      </c>
      <c r="CK72" s="72">
        <f t="shared" ref="CK72" si="409">S72</f>
        <v>72</v>
      </c>
      <c r="CL72" s="72">
        <f t="shared" ref="CL72" si="410">W72</f>
        <v>108</v>
      </c>
      <c r="CM72" s="72">
        <f t="shared" ref="CM72" si="411">AA72</f>
        <v>116</v>
      </c>
      <c r="CN72" s="72">
        <f t="shared" ref="CN72" si="412">AE72</f>
        <v>142</v>
      </c>
      <c r="CO72" s="72">
        <f t="shared" ref="CO72" si="413">AI72</f>
        <v>168</v>
      </c>
      <c r="CP72" s="72">
        <f t="shared" ref="CP72" si="414">AM72</f>
        <v>208</v>
      </c>
      <c r="CQ72" s="72">
        <f t="shared" ref="CQ72" si="415">AQ72</f>
        <v>259</v>
      </c>
      <c r="CR72" s="72">
        <f t="shared" ref="CR72" si="416">AU72</f>
        <v>291</v>
      </c>
      <c r="CS72" s="72">
        <f t="shared" ref="CS72" si="417">AY72</f>
        <v>305</v>
      </c>
      <c r="CT72" s="23">
        <f t="shared" ref="CT72" si="418">M72-K72</f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19">CONCATENATE(B73,"_",C73)</f>
        <v>aa2ar_human_6JZH</v>
      </c>
      <c r="B73" s="3" t="s">
        <v>139</v>
      </c>
      <c r="C73" s="3" t="s">
        <v>1599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V</v>
      </c>
      <c r="AY73" s="3">
        <v>307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2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21">_xlfn.AGGREGATE(9,6,CH73:CS73)-_xlfn.AGGREGATE(9,6,BV73:CG73)+12</f>
        <v>264</v>
      </c>
      <c r="BD73" s="5" t="s">
        <v>23</v>
      </c>
      <c r="BE73" s="3" t="s">
        <v>1370</v>
      </c>
      <c r="BF73" s="118">
        <v>2.25</v>
      </c>
      <c r="BG73" s="49" t="s">
        <v>1</v>
      </c>
      <c r="BH73" s="49" t="s">
        <v>1</v>
      </c>
      <c r="BI73" s="1"/>
      <c r="BJ73" s="70" t="s">
        <v>1283</v>
      </c>
      <c r="BK73" s="57" t="s">
        <v>1283</v>
      </c>
      <c r="BL73" s="57" t="s">
        <v>1283</v>
      </c>
      <c r="BM73" s="57" t="s">
        <v>1283</v>
      </c>
      <c r="BN73" s="57" t="s">
        <v>1283</v>
      </c>
      <c r="BO73" s="57" t="s">
        <v>1283</v>
      </c>
      <c r="BP73" s="57" t="s">
        <v>1283</v>
      </c>
      <c r="BQ73" s="57" t="s">
        <v>1283</v>
      </c>
      <c r="BR73" s="57" t="s">
        <v>1283</v>
      </c>
      <c r="BS73" s="57" t="s">
        <v>1283</v>
      </c>
      <c r="BT73" s="57" t="s">
        <v>1283</v>
      </c>
      <c r="BU73" s="57" t="s">
        <v>1283</v>
      </c>
      <c r="BV73" s="70">
        <f t="shared" ref="BV73" si="422">E73</f>
        <v>1</v>
      </c>
      <c r="BW73" s="71">
        <f t="shared" ref="BW73" si="423">I73</f>
        <v>35</v>
      </c>
      <c r="BX73" s="72">
        <f t="shared" ref="BX73" si="424">M73</f>
        <v>39</v>
      </c>
      <c r="BY73" s="71">
        <f t="shared" ref="BY73" si="425">Q73</f>
        <v>70</v>
      </c>
      <c r="BZ73" s="72">
        <f t="shared" ref="BZ73" si="426">U73</f>
        <v>73</v>
      </c>
      <c r="CA73" s="71">
        <f t="shared" ref="CA73" si="427">Y73</f>
        <v>109</v>
      </c>
      <c r="CB73" s="72">
        <f t="shared" ref="CB73" si="428">AC73</f>
        <v>117</v>
      </c>
      <c r="CC73" s="71">
        <f t="shared" ref="CC73" si="429">AG73</f>
        <v>166</v>
      </c>
      <c r="CD73" s="72">
        <f t="shared" ref="CD73" si="430">AK73</f>
        <v>173</v>
      </c>
      <c r="CE73" s="71">
        <f t="shared" ref="CE73" si="431">AO73</f>
        <v>219</v>
      </c>
      <c r="CF73" s="72">
        <f t="shared" ref="CF73" si="432">AS73</f>
        <v>266</v>
      </c>
      <c r="CG73" s="71">
        <f t="shared" ref="CG73" si="433">AW73</f>
        <v>292</v>
      </c>
      <c r="CH73" s="70">
        <f t="shared" ref="CH73" si="434">G73</f>
        <v>34</v>
      </c>
      <c r="CI73" s="71">
        <f t="shared" ref="CI73" si="435">K73</f>
        <v>38</v>
      </c>
      <c r="CJ73" s="72">
        <f t="shared" ref="CJ73" si="436">O73</f>
        <v>69</v>
      </c>
      <c r="CK73" s="72">
        <f t="shared" ref="CK73" si="437">S73</f>
        <v>72</v>
      </c>
      <c r="CL73" s="72">
        <f t="shared" ref="CL73" si="438">W73</f>
        <v>108</v>
      </c>
      <c r="CM73" s="72">
        <f t="shared" ref="CM73" si="439">AA73</f>
        <v>116</v>
      </c>
      <c r="CN73" s="72">
        <f t="shared" ref="CN73" si="440">AE73</f>
        <v>142</v>
      </c>
      <c r="CO73" s="72">
        <f t="shared" ref="CO73" si="441">AI73</f>
        <v>168</v>
      </c>
      <c r="CP73" s="72">
        <f t="shared" ref="CP73" si="442">AM73</f>
        <v>208</v>
      </c>
      <c r="CQ73" s="72">
        <f t="shared" ref="CQ73" si="443">AQ73</f>
        <v>259</v>
      </c>
      <c r="CR73" s="72">
        <f t="shared" ref="CR73" si="444">AU73</f>
        <v>291</v>
      </c>
      <c r="CS73" s="72">
        <f t="shared" ref="CS73" si="445">AY73</f>
        <v>307</v>
      </c>
      <c r="CT73" s="23">
        <f t="shared" ref="CT73" si="446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447">CONCATENATE(B74,"_",C74)</f>
        <v>aa2ar_human_6PS7</v>
      </c>
      <c r="B74" s="3" t="s">
        <v>139</v>
      </c>
      <c r="C74" s="3" t="s">
        <v>1611</v>
      </c>
      <c r="D74" s="3" t="str">
        <f>IFERROR(MID(VLOOKUP($B74,Seqs!$A:$B,2,0),E74,1),"")</f>
        <v>M</v>
      </c>
      <c r="E74" s="3">
        <v>1</v>
      </c>
      <c r="F74" s="3" t="str">
        <f>IFERROR(MID(VLOOKUP($B74,Seqs!$A:$B,2,0),G74,1),"")</f>
        <v>N</v>
      </c>
      <c r="G74" s="3">
        <v>34</v>
      </c>
      <c r="H74" s="3" t="str">
        <f>IFERROR(MID(VLOOKUP($B74,Seqs!$A:$B,2,0),I74,1),"")</f>
        <v>S</v>
      </c>
      <c r="I74" s="23">
        <v>35</v>
      </c>
      <c r="J74" s="3" t="str">
        <f>IFERROR(MID(VLOOKUP($B74,Seqs!$A:$B,2,0),K74,1),"")</f>
        <v>Q</v>
      </c>
      <c r="K74" s="23">
        <v>38</v>
      </c>
      <c r="L74" s="3" t="str">
        <f>IFERROR(MID(VLOOKUP($B74,Seqs!$A:$B,2,0),M74,1),"")</f>
        <v>N</v>
      </c>
      <c r="M74" s="3">
        <v>39</v>
      </c>
      <c r="N74" s="3" t="str">
        <f>IFERROR(MID(VLOOKUP($B74,Seqs!$A:$B,2,0),O74,1),"")</f>
        <v>G</v>
      </c>
      <c r="O74" s="3">
        <v>69</v>
      </c>
      <c r="P74" s="3" t="str">
        <f>IFERROR(MID(VLOOKUP($B74,Seqs!$A:$B,2,0),Q74,1),"")</f>
        <v>F</v>
      </c>
      <c r="Q74" s="3">
        <v>70</v>
      </c>
      <c r="R74" s="3" t="str">
        <f>IFERROR(MID(VLOOKUP($B74,Seqs!$A:$B,2,0),S74,1),"")</f>
        <v>A</v>
      </c>
      <c r="S74" s="3">
        <v>72</v>
      </c>
      <c r="T74" s="3" t="str">
        <f>IFERROR(MID(VLOOKUP($B74,Seqs!$A:$B,2,0),U74,1),"")</f>
        <v>A</v>
      </c>
      <c r="U74" s="3">
        <v>73</v>
      </c>
      <c r="V74" s="3" t="str">
        <f>IFERROR(MID(VLOOKUP($B74,Seqs!$A:$B,2,0),W74,1),"")</f>
        <v>I</v>
      </c>
      <c r="W74" s="3">
        <v>108</v>
      </c>
      <c r="X74" s="3" t="str">
        <f>IFERROR(MID(VLOOKUP($B74,Seqs!$A:$B,2,0),Y74,1),"")</f>
        <v>P</v>
      </c>
      <c r="Y74" s="3">
        <v>109</v>
      </c>
      <c r="Z74" s="3" t="str">
        <f>IFERROR(MID(VLOOKUP($B74,Seqs!$A:$B,2,0),AA74,1),"")</f>
        <v>V</v>
      </c>
      <c r="AA74" s="3">
        <v>116</v>
      </c>
      <c r="AB74" s="3" t="str">
        <f>IFERROR(MID(VLOOKUP($B74,Seqs!$A:$B,2,0),AC74,1),"")</f>
        <v>T</v>
      </c>
      <c r="AC74" s="3">
        <v>117</v>
      </c>
      <c r="AD74" s="3" t="str">
        <f>IFERROR(MID(VLOOKUP($B74,Seqs!$A:$B,2,0),AE74,1),"")</f>
        <v>G</v>
      </c>
      <c r="AE74" s="3">
        <v>142</v>
      </c>
      <c r="AF74" s="3" t="str">
        <f>IFERROR(MID(VLOOKUP($B74,Seqs!$A:$B,2,0),AG74,1),"")</f>
        <v>C</v>
      </c>
      <c r="AG74" s="3">
        <v>166</v>
      </c>
      <c r="AH74" s="3" t="str">
        <f>IFERROR(MID(VLOOKUP($B74,Seqs!$A:$B,2,0),AI74,1),"")</f>
        <v>F</v>
      </c>
      <c r="AI74" s="3">
        <v>168</v>
      </c>
      <c r="AJ74" s="3" t="str">
        <f>IFERROR(MID(VLOOKUP($B74,Seqs!$A:$B,2,0),AK74,1),"")</f>
        <v>P</v>
      </c>
      <c r="AK74" s="3">
        <v>173</v>
      </c>
      <c r="AL74" s="3" t="str">
        <f>IFERROR(MID(VLOOKUP($B74,Seqs!$A:$B,2,0),AM74,1),"")</f>
        <v>L</v>
      </c>
      <c r="AM74" s="3">
        <v>208</v>
      </c>
      <c r="AN74" s="3" t="str">
        <f>IFERROR(MID(VLOOKUP($B74,Seqs!$A:$B,2,0),AO74,1),"")</f>
        <v>E</v>
      </c>
      <c r="AO74" s="3">
        <v>219</v>
      </c>
      <c r="AP74" s="3" t="str">
        <f>IFERROR(MID(VLOOKUP($B74,Seqs!$A:$B,2,0),AQ74,1),"")</f>
        <v>C</v>
      </c>
      <c r="AQ74" s="3">
        <v>259</v>
      </c>
      <c r="AR74" s="3" t="str">
        <f>IFERROR(MID(VLOOKUP($B74,Seqs!$A:$B,2,0),AS74,1),"")</f>
        <v>P</v>
      </c>
      <c r="AS74" s="3">
        <v>266</v>
      </c>
      <c r="AT74" s="3" t="str">
        <f>IFERROR(MID(VLOOKUP($B74,Seqs!$A:$B,2,0),AU74,1),"")</f>
        <v>R</v>
      </c>
      <c r="AU74" s="3">
        <v>291</v>
      </c>
      <c r="AV74" s="3" t="str">
        <f>IFERROR(MID(VLOOKUP($B74,Seqs!$A:$B,2,0),AW74,1),"")</f>
        <v>I</v>
      </c>
      <c r="AW74" s="3">
        <v>292</v>
      </c>
      <c r="AX74" s="3" t="str">
        <f>IFERROR(MID(VLOOKUP($B74,Seqs!$A:$B,2,0),AY74,1),"")</f>
        <v>V</v>
      </c>
      <c r="AY74" s="3">
        <v>307</v>
      </c>
      <c r="AZ74" s="77" t="str">
        <f>VLOOKUP(B74,Classification!A:D,2,0)</f>
        <v>A</v>
      </c>
      <c r="BA74" s="94" t="str">
        <f>VLOOKUP(B74,Classification!A:D,4,0)</f>
        <v>Adenosine</v>
      </c>
      <c r="BB74" s="27" t="b">
        <f t="shared" ref="BB74" si="44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449">_xlfn.AGGREGATE(9,6,CH74:CS74)-_xlfn.AGGREGATE(9,6,BV74:CG74)+12</f>
        <v>264</v>
      </c>
      <c r="BD74" s="5" t="s">
        <v>23</v>
      </c>
      <c r="BE74" s="3" t="s">
        <v>1370</v>
      </c>
      <c r="BF74" s="118">
        <v>1.85</v>
      </c>
      <c r="BG74" s="49" t="s">
        <v>1</v>
      </c>
      <c r="BH74" s="49" t="s">
        <v>1</v>
      </c>
      <c r="BI74" s="1"/>
      <c r="BJ74" s="70" t="s">
        <v>1283</v>
      </c>
      <c r="BK74" s="57" t="s">
        <v>1283</v>
      </c>
      <c r="BL74" s="57" t="s">
        <v>1283</v>
      </c>
      <c r="BM74" s="57" t="s">
        <v>1283</v>
      </c>
      <c r="BN74" s="57" t="s">
        <v>1283</v>
      </c>
      <c r="BO74" s="57" t="s">
        <v>1283</v>
      </c>
      <c r="BP74" s="57" t="s">
        <v>1283</v>
      </c>
      <c r="BQ74" s="57" t="s">
        <v>1283</v>
      </c>
      <c r="BR74" s="57" t="s">
        <v>1283</v>
      </c>
      <c r="BS74" s="57" t="s">
        <v>1283</v>
      </c>
      <c r="BT74" s="57" t="s">
        <v>1283</v>
      </c>
      <c r="BU74" s="57" t="s">
        <v>1283</v>
      </c>
      <c r="BV74" s="70">
        <f t="shared" ref="BV74" si="450">E74</f>
        <v>1</v>
      </c>
      <c r="BW74" s="71">
        <f t="shared" ref="BW74" si="451">I74</f>
        <v>35</v>
      </c>
      <c r="BX74" s="72">
        <f t="shared" ref="BX74" si="452">M74</f>
        <v>39</v>
      </c>
      <c r="BY74" s="71">
        <f t="shared" ref="BY74" si="453">Q74</f>
        <v>70</v>
      </c>
      <c r="BZ74" s="72">
        <f t="shared" ref="BZ74" si="454">U74</f>
        <v>73</v>
      </c>
      <c r="CA74" s="71">
        <f t="shared" ref="CA74" si="455">Y74</f>
        <v>109</v>
      </c>
      <c r="CB74" s="72">
        <f t="shared" ref="CB74" si="456">AC74</f>
        <v>117</v>
      </c>
      <c r="CC74" s="71">
        <f t="shared" ref="CC74" si="457">AG74</f>
        <v>166</v>
      </c>
      <c r="CD74" s="72">
        <f t="shared" ref="CD74" si="458">AK74</f>
        <v>173</v>
      </c>
      <c r="CE74" s="71">
        <f t="shared" ref="CE74" si="459">AO74</f>
        <v>219</v>
      </c>
      <c r="CF74" s="72">
        <f t="shared" ref="CF74" si="460">AS74</f>
        <v>266</v>
      </c>
      <c r="CG74" s="71">
        <f t="shared" ref="CG74" si="461">AW74</f>
        <v>292</v>
      </c>
      <c r="CH74" s="70">
        <f t="shared" ref="CH74" si="462">G74</f>
        <v>34</v>
      </c>
      <c r="CI74" s="71">
        <f t="shared" ref="CI74" si="463">K74</f>
        <v>38</v>
      </c>
      <c r="CJ74" s="72">
        <f t="shared" ref="CJ74" si="464">O74</f>
        <v>69</v>
      </c>
      <c r="CK74" s="72">
        <f t="shared" ref="CK74" si="465">S74</f>
        <v>72</v>
      </c>
      <c r="CL74" s="72">
        <f t="shared" ref="CL74" si="466">W74</f>
        <v>108</v>
      </c>
      <c r="CM74" s="72">
        <f t="shared" ref="CM74" si="467">AA74</f>
        <v>116</v>
      </c>
      <c r="CN74" s="72">
        <f t="shared" ref="CN74" si="468">AE74</f>
        <v>142</v>
      </c>
      <c r="CO74" s="72">
        <f t="shared" ref="CO74" si="469">AI74</f>
        <v>168</v>
      </c>
      <c r="CP74" s="72">
        <f t="shared" ref="CP74" si="470">AM74</f>
        <v>208</v>
      </c>
      <c r="CQ74" s="72">
        <f t="shared" ref="CQ74" si="471">AQ74</f>
        <v>259</v>
      </c>
      <c r="CR74" s="72">
        <f t="shared" ref="CR74" si="472">AU74</f>
        <v>291</v>
      </c>
      <c r="CS74" s="72">
        <f t="shared" ref="CS74" si="473">AY74</f>
        <v>307</v>
      </c>
      <c r="CT74" s="23">
        <f t="shared" ref="CT74" si="474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s="12" customFormat="1" x14ac:dyDescent="0.2">
      <c r="A75" s="9" t="str">
        <f t="shared" ref="A75" si="475">CONCATENATE(B75,"_",C75)</f>
        <v>aa2ar_human_6S0Q</v>
      </c>
      <c r="B75" s="9" t="s">
        <v>139</v>
      </c>
      <c r="C75" s="9" t="s">
        <v>1686</v>
      </c>
      <c r="D75" s="9" t="str">
        <f>IFERROR(MID(VLOOKUP($B75,Seqs!$A:$B,2,0),E75,1),"")</f>
        <v>M</v>
      </c>
      <c r="E75" s="9">
        <v>1</v>
      </c>
      <c r="F75" s="9" t="str">
        <f>IFERROR(MID(VLOOKUP($B75,Seqs!$A:$B,2,0),G75,1),"")</f>
        <v>N</v>
      </c>
      <c r="G75" s="9">
        <v>34</v>
      </c>
      <c r="H75" s="9" t="str">
        <f>IFERROR(MID(VLOOKUP($B75,Seqs!$A:$B,2,0),I75,1),"")</f>
        <v>S</v>
      </c>
      <c r="I75" s="109">
        <v>35</v>
      </c>
      <c r="J75" s="9" t="str">
        <f>IFERROR(MID(VLOOKUP($B75,Seqs!$A:$B,2,0),K75,1),"")</f>
        <v>Q</v>
      </c>
      <c r="K75" s="109">
        <v>38</v>
      </c>
      <c r="L75" s="9" t="str">
        <f>IFERROR(MID(VLOOKUP($B75,Seqs!$A:$B,2,0),M75,1),"")</f>
        <v>N</v>
      </c>
      <c r="M75" s="9">
        <v>39</v>
      </c>
      <c r="N75" s="9" t="str">
        <f>IFERROR(MID(VLOOKUP($B75,Seqs!$A:$B,2,0),O75,1),"")</f>
        <v>G</v>
      </c>
      <c r="O75" s="9">
        <v>69</v>
      </c>
      <c r="P75" s="9" t="str">
        <f>IFERROR(MID(VLOOKUP($B75,Seqs!$A:$B,2,0),Q75,1),"")</f>
        <v>F</v>
      </c>
      <c r="Q75" s="9">
        <v>70</v>
      </c>
      <c r="R75" s="9" t="str">
        <f>IFERROR(MID(VLOOKUP($B75,Seqs!$A:$B,2,0),S75,1),"")</f>
        <v>A</v>
      </c>
      <c r="S75" s="9">
        <v>72</v>
      </c>
      <c r="T75" s="9" t="str">
        <f>IFERROR(MID(VLOOKUP($B75,Seqs!$A:$B,2,0),U75,1),"")</f>
        <v>A</v>
      </c>
      <c r="U75" s="9">
        <v>73</v>
      </c>
      <c r="V75" s="9" t="str">
        <f>IFERROR(MID(VLOOKUP($B75,Seqs!$A:$B,2,0),W75,1),"")</f>
        <v>I</v>
      </c>
      <c r="W75" s="9">
        <v>108</v>
      </c>
      <c r="X75" s="9" t="str">
        <f>IFERROR(MID(VLOOKUP($B75,Seqs!$A:$B,2,0),Y75,1),"")</f>
        <v>P</v>
      </c>
      <c r="Y75" s="9">
        <v>109</v>
      </c>
      <c r="Z75" s="9" t="str">
        <f>IFERROR(MID(VLOOKUP($B75,Seqs!$A:$B,2,0),AA75,1),"")</f>
        <v>V</v>
      </c>
      <c r="AA75" s="9">
        <v>116</v>
      </c>
      <c r="AB75" s="9" t="str">
        <f>IFERROR(MID(VLOOKUP($B75,Seqs!$A:$B,2,0),AC75,1),"")</f>
        <v>T</v>
      </c>
      <c r="AC75" s="9">
        <v>117</v>
      </c>
      <c r="AD75" s="9" t="str">
        <f>IFERROR(MID(VLOOKUP($B75,Seqs!$A:$B,2,0),AE75,1),"")</f>
        <v>G</v>
      </c>
      <c r="AE75" s="9">
        <v>142</v>
      </c>
      <c r="AF75" s="9" t="str">
        <f>IFERROR(MID(VLOOKUP($B75,Seqs!$A:$B,2,0),AG75,1),"")</f>
        <v>C</v>
      </c>
      <c r="AG75" s="9">
        <v>166</v>
      </c>
      <c r="AH75" s="9" t="str">
        <f>IFERROR(MID(VLOOKUP($B75,Seqs!$A:$B,2,0),AI75,1),"")</f>
        <v>F</v>
      </c>
      <c r="AI75" s="9">
        <v>168</v>
      </c>
      <c r="AJ75" s="9" t="str">
        <f>IFERROR(MID(VLOOKUP($B75,Seqs!$A:$B,2,0),AK75,1),"")</f>
        <v>P</v>
      </c>
      <c r="AK75" s="9">
        <v>173</v>
      </c>
      <c r="AL75" s="9" t="str">
        <f>IFERROR(MID(VLOOKUP($B75,Seqs!$A:$B,2,0),AM75,1),"")</f>
        <v>L</v>
      </c>
      <c r="AM75" s="9">
        <v>208</v>
      </c>
      <c r="AN75" s="9" t="str">
        <f>IFERROR(MID(VLOOKUP($B75,Seqs!$A:$B,2,0),AO75,1),"")</f>
        <v>E</v>
      </c>
      <c r="AO75" s="9">
        <v>219</v>
      </c>
      <c r="AP75" s="9" t="str">
        <f>IFERROR(MID(VLOOKUP($B75,Seqs!$A:$B,2,0),AQ75,1),"")</f>
        <v>C</v>
      </c>
      <c r="AQ75" s="9">
        <v>259</v>
      </c>
      <c r="AR75" s="9" t="str">
        <f>IFERROR(MID(VLOOKUP($B75,Seqs!$A:$B,2,0),AS75,1),"")</f>
        <v>P</v>
      </c>
      <c r="AS75" s="9">
        <v>266</v>
      </c>
      <c r="AT75" s="9" t="str">
        <f>IFERROR(MID(VLOOKUP($B75,Seqs!$A:$B,2,0),AU75,1),"")</f>
        <v>R</v>
      </c>
      <c r="AU75" s="9">
        <v>291</v>
      </c>
      <c r="AV75" s="9" t="str">
        <f>IFERROR(MID(VLOOKUP($B75,Seqs!$A:$B,2,0),AW75,1),"")</f>
        <v>I</v>
      </c>
      <c r="AW75" s="9">
        <v>292</v>
      </c>
      <c r="AX75" s="9" t="str">
        <f>IFERROR(MID(VLOOKUP($B75,Seqs!$A:$B,2,0),AY75,1),"")</f>
        <v>S</v>
      </c>
      <c r="AY75" s="9">
        <v>305</v>
      </c>
      <c r="AZ75" s="110" t="str">
        <f>VLOOKUP(B75,Classification!A:D,2,0)</f>
        <v>A</v>
      </c>
      <c r="BA75" s="98" t="str">
        <f>VLOOKUP(B75,Classification!A:D,4,0)</f>
        <v>Adenosine</v>
      </c>
      <c r="BB75" s="36" t="b">
        <f t="shared" ref="BB75" si="476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109">
        <f t="shared" ref="BC75" si="477">_xlfn.AGGREGATE(9,6,CH75:CS75)-_xlfn.AGGREGATE(9,6,BV75:CG75)+12</f>
        <v>262</v>
      </c>
      <c r="BD75" s="13" t="s">
        <v>23</v>
      </c>
      <c r="BE75" s="9" t="s">
        <v>1370</v>
      </c>
      <c r="BF75" s="119">
        <v>2.65</v>
      </c>
      <c r="BG75" s="51" t="s">
        <v>1</v>
      </c>
      <c r="BH75" s="51" t="s">
        <v>1</v>
      </c>
      <c r="BJ75" s="111" t="s">
        <v>1283</v>
      </c>
      <c r="BK75" s="112" t="s">
        <v>1283</v>
      </c>
      <c r="BL75" s="112" t="s">
        <v>1283</v>
      </c>
      <c r="BM75" s="112" t="s">
        <v>1283</v>
      </c>
      <c r="BN75" s="112" t="s">
        <v>1283</v>
      </c>
      <c r="BO75" s="112" t="s">
        <v>1283</v>
      </c>
      <c r="BP75" s="112" t="s">
        <v>1283</v>
      </c>
      <c r="BQ75" s="112" t="s">
        <v>1283</v>
      </c>
      <c r="BR75" s="112" t="s">
        <v>1283</v>
      </c>
      <c r="BS75" s="112" t="s">
        <v>1283</v>
      </c>
      <c r="BT75" s="112" t="s">
        <v>1283</v>
      </c>
      <c r="BU75" s="112" t="s">
        <v>1283</v>
      </c>
      <c r="BV75" s="111">
        <f t="shared" ref="BV75" si="478">E75</f>
        <v>1</v>
      </c>
      <c r="BW75" s="113">
        <f t="shared" ref="BW75" si="479">I75</f>
        <v>35</v>
      </c>
      <c r="BX75" s="114">
        <f t="shared" ref="BX75" si="480">M75</f>
        <v>39</v>
      </c>
      <c r="BY75" s="113">
        <f t="shared" ref="BY75" si="481">Q75</f>
        <v>70</v>
      </c>
      <c r="BZ75" s="114">
        <f t="shared" ref="BZ75" si="482">U75</f>
        <v>73</v>
      </c>
      <c r="CA75" s="113">
        <f t="shared" ref="CA75" si="483">Y75</f>
        <v>109</v>
      </c>
      <c r="CB75" s="114">
        <f t="shared" ref="CB75" si="484">AC75</f>
        <v>117</v>
      </c>
      <c r="CC75" s="113">
        <f t="shared" ref="CC75" si="485">AG75</f>
        <v>166</v>
      </c>
      <c r="CD75" s="114">
        <f t="shared" ref="CD75" si="486">AK75</f>
        <v>173</v>
      </c>
      <c r="CE75" s="113">
        <f t="shared" ref="CE75" si="487">AO75</f>
        <v>219</v>
      </c>
      <c r="CF75" s="114">
        <f t="shared" ref="CF75" si="488">AS75</f>
        <v>266</v>
      </c>
      <c r="CG75" s="113">
        <f t="shared" ref="CG75" si="489">AW75</f>
        <v>292</v>
      </c>
      <c r="CH75" s="111">
        <f t="shared" ref="CH75" si="490">G75</f>
        <v>34</v>
      </c>
      <c r="CI75" s="113">
        <f t="shared" ref="CI75" si="491">K75</f>
        <v>38</v>
      </c>
      <c r="CJ75" s="114">
        <f t="shared" ref="CJ75" si="492">O75</f>
        <v>69</v>
      </c>
      <c r="CK75" s="114">
        <f t="shared" ref="CK75" si="493">S75</f>
        <v>72</v>
      </c>
      <c r="CL75" s="114">
        <f t="shared" ref="CL75" si="494">W75</f>
        <v>108</v>
      </c>
      <c r="CM75" s="114">
        <f t="shared" ref="CM75" si="495">AA75</f>
        <v>116</v>
      </c>
      <c r="CN75" s="114">
        <f t="shared" ref="CN75" si="496">AE75</f>
        <v>142</v>
      </c>
      <c r="CO75" s="114">
        <f t="shared" ref="CO75" si="497">AI75</f>
        <v>168</v>
      </c>
      <c r="CP75" s="114">
        <f t="shared" ref="CP75" si="498">AM75</f>
        <v>208</v>
      </c>
      <c r="CQ75" s="114">
        <f t="shared" ref="CQ75" si="499">AQ75</f>
        <v>259</v>
      </c>
      <c r="CR75" s="114">
        <f t="shared" ref="CR75" si="500">AU75</f>
        <v>291</v>
      </c>
      <c r="CS75" s="114">
        <f t="shared" ref="CS75" si="501">AY75</f>
        <v>305</v>
      </c>
      <c r="CT75" s="109">
        <f t="shared" ref="CT75" si="502">M75-K75</f>
        <v>1</v>
      </c>
    </row>
    <row r="76" spans="1:1029" x14ac:dyDescent="0.2">
      <c r="A76" s="3" t="str">
        <f t="shared" si="0"/>
        <v>acm1_human__wt</v>
      </c>
      <c r="B76" s="3" t="s">
        <v>146</v>
      </c>
      <c r="C76" s="3" t="s">
        <v>100</v>
      </c>
      <c r="D76" s="3" t="str">
        <f>IFERROR(MID(VLOOKUP($B76,Seqs!$A:$B,2,0),E76,1),"")</f>
        <v>P</v>
      </c>
      <c r="E76" s="3">
        <v>22</v>
      </c>
      <c r="F76" s="3" t="str">
        <f>IFERROR(MID(VLOOKUP($B76,Seqs!$A:$B,2,0),G76,1),"")</f>
        <v>N</v>
      </c>
      <c r="G76" s="3">
        <v>53</v>
      </c>
      <c r="H76" s="3" t="str">
        <f>IFERROR(MID(VLOOKUP($B76,Seqs!$A:$B,2,0),I76,1),"")</f>
        <v>T</v>
      </c>
      <c r="I76" s="23">
        <v>54</v>
      </c>
      <c r="J76" s="3" t="str">
        <f>IFERROR(MID(VLOOKUP($B76,Seqs!$A:$B,2,0),K76,1),"")</f>
        <v>K</v>
      </c>
      <c r="K76" s="23">
        <v>57</v>
      </c>
      <c r="L76" s="3" t="str">
        <f>IFERROR(MID(VLOOKUP($B76,Seqs!$A:$B,2,0),M76,1),"")</f>
        <v>T</v>
      </c>
      <c r="M76" s="3">
        <v>58</v>
      </c>
      <c r="N76" s="3" t="str">
        <f>IFERROR(MID(VLOOKUP($B76,Seqs!$A:$B,2,0),O76,1),"")</f>
        <v>G</v>
      </c>
      <c r="O76" s="3">
        <v>89</v>
      </c>
      <c r="P76" s="3" t="str">
        <f>IFERROR(MID(VLOOKUP($B76,Seqs!$A:$B,2,0),Q76,1),"")</f>
        <v>H</v>
      </c>
      <c r="Q76" s="3">
        <v>90</v>
      </c>
      <c r="R76" s="3" t="str">
        <f>IFERROR(MID(VLOOKUP($B76,Seqs!$A:$B,2,0),S76,1),"")</f>
        <v>L</v>
      </c>
      <c r="S76" s="3">
        <v>93</v>
      </c>
      <c r="T76" s="3" t="str">
        <f>IFERROR(MID(VLOOKUP($B76,Seqs!$A:$B,2,0),U76,1),"")</f>
        <v>G</v>
      </c>
      <c r="U76" s="3">
        <v>94</v>
      </c>
      <c r="V76" s="3" t="str">
        <f>IFERROR(MID(VLOOKUP($B76,Seqs!$A:$B,2,0),W76,1),"")</f>
        <v>R</v>
      </c>
      <c r="W76" s="3">
        <v>129</v>
      </c>
      <c r="X76" s="3" t="str">
        <f>IFERROR(MID(VLOOKUP($B76,Seqs!$A:$B,2,0),Y76,1),"")</f>
        <v>P</v>
      </c>
      <c r="Y76" s="3">
        <v>130</v>
      </c>
      <c r="Z76" s="3" t="str">
        <f>IFERROR(MID(VLOOKUP($B76,Seqs!$A:$B,2,0),AA76,1),"")</f>
        <v>R</v>
      </c>
      <c r="AA76" s="3">
        <v>137</v>
      </c>
      <c r="AB76" s="3" t="str">
        <f>IFERROR(MID(VLOOKUP($B76,Seqs!$A:$B,2,0),AC76,1),"")</f>
        <v>T</v>
      </c>
      <c r="AC76" s="3">
        <v>138</v>
      </c>
      <c r="AD76" s="3" t="str">
        <f>IFERROR(MID(VLOOKUP($B76,Seqs!$A:$B,2,0),AE76,1),"")</f>
        <v>G</v>
      </c>
      <c r="AE76" s="3">
        <v>169</v>
      </c>
      <c r="AF76" s="3" t="str">
        <f>IFERROR(MID(VLOOKUP($B76,Seqs!$A:$B,2,0),AG76,1),"")</f>
        <v>C</v>
      </c>
      <c r="AG76" s="3">
        <v>178</v>
      </c>
      <c r="AH76" s="3" t="str">
        <f>IFERROR(MID(VLOOKUP($B76,Seqs!$A:$B,2,0),AI76,1),"")</f>
        <v>I</v>
      </c>
      <c r="AI76" s="3">
        <v>180</v>
      </c>
      <c r="AJ76" s="3" t="str">
        <f>IFERROR(MID(VLOOKUP($B76,Seqs!$A:$B,2,0),AK76,1),"")</f>
        <v>Q</v>
      </c>
      <c r="AK76" s="3">
        <v>185</v>
      </c>
      <c r="AL76" s="3" t="str">
        <f>IFERROR(MID(VLOOKUP($B76,Seqs!$A:$B,2,0),AM76,1),"")</f>
        <v>L</v>
      </c>
      <c r="AM76" s="3">
        <v>225</v>
      </c>
      <c r="AN76" s="3" t="str">
        <f>IFERROR(MID(VLOOKUP($B76,Seqs!$A:$B,2,0),AO76,1),"")</f>
        <v>T</v>
      </c>
      <c r="AO76" s="3">
        <v>354</v>
      </c>
      <c r="AP76" s="3" t="str">
        <f>IFERROR(MID(VLOOKUP($B76,Seqs!$A:$B,2,0),AQ76,1),"")</f>
        <v>C</v>
      </c>
      <c r="AQ76" s="3">
        <v>391</v>
      </c>
      <c r="AR76" s="3" t="str">
        <f>IFERROR(MID(VLOOKUP($B76,Seqs!$A:$B,2,0),AS76,1),"")</f>
        <v>P</v>
      </c>
      <c r="AS76" s="3">
        <v>396</v>
      </c>
      <c r="AT76" s="3" t="str">
        <f>IFERROR(MID(VLOOKUP($B76,Seqs!$A:$B,2,0),AU76,1),"")</f>
        <v>C</v>
      </c>
      <c r="AU76" s="3">
        <v>421</v>
      </c>
      <c r="AV76" s="3" t="str">
        <f>IFERROR(MID(VLOOKUP($B76,Seqs!$A:$B,2,0),AW76,1),"")</f>
        <v>N</v>
      </c>
      <c r="AW76" s="3">
        <v>422</v>
      </c>
      <c r="AX76" s="3" t="str">
        <f>IFERROR(MID(VLOOKUP($B76,Seqs!$A:$B,2,0),AY76,1),"")</f>
        <v>C</v>
      </c>
      <c r="AY76" s="3">
        <v>435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1"/>
        <v>1</v>
      </c>
      <c r="BC76" s="23">
        <f t="shared" si="225"/>
        <v>270</v>
      </c>
      <c r="BD76" s="56" t="s">
        <v>23</v>
      </c>
      <c r="BE76" s="3" t="s">
        <v>23</v>
      </c>
      <c r="BF76" s="118" t="s">
        <v>23</v>
      </c>
      <c r="BG76" s="49" t="s">
        <v>1368</v>
      </c>
      <c r="BH76" s="49" t="s">
        <v>1373</v>
      </c>
      <c r="BI76" s="1"/>
      <c r="BJ76" s="70" t="s">
        <v>1283</v>
      </c>
      <c r="BK76" s="57" t="s">
        <v>1283</v>
      </c>
      <c r="BL76" s="57" t="s">
        <v>1283</v>
      </c>
      <c r="BM76" s="57" t="s">
        <v>1283</v>
      </c>
      <c r="BN76" s="57" t="s">
        <v>1283</v>
      </c>
      <c r="BO76" s="57" t="s">
        <v>1283</v>
      </c>
      <c r="BP76" s="57" t="s">
        <v>1283</v>
      </c>
      <c r="BQ76" s="57" t="s">
        <v>1283</v>
      </c>
      <c r="BR76" s="57" t="s">
        <v>1283</v>
      </c>
      <c r="BS76" s="57" t="s">
        <v>1283</v>
      </c>
      <c r="BT76" s="57" t="s">
        <v>1283</v>
      </c>
      <c r="BU76" s="57" t="s">
        <v>1283</v>
      </c>
      <c r="BV76" s="70">
        <f t="shared" si="226"/>
        <v>22</v>
      </c>
      <c r="BW76" s="71">
        <f t="shared" si="227"/>
        <v>54</v>
      </c>
      <c r="BX76" s="72">
        <f t="shared" si="228"/>
        <v>58</v>
      </c>
      <c r="BY76" s="71">
        <f t="shared" si="229"/>
        <v>90</v>
      </c>
      <c r="BZ76" s="72">
        <f t="shared" si="230"/>
        <v>94</v>
      </c>
      <c r="CA76" s="71">
        <f t="shared" si="231"/>
        <v>130</v>
      </c>
      <c r="CB76" s="72">
        <f t="shared" si="232"/>
        <v>138</v>
      </c>
      <c r="CC76" s="71">
        <f t="shared" si="233"/>
        <v>178</v>
      </c>
      <c r="CD76" s="72">
        <f t="shared" si="234"/>
        <v>185</v>
      </c>
      <c r="CE76" s="71">
        <f t="shared" si="235"/>
        <v>354</v>
      </c>
      <c r="CF76" s="72">
        <f t="shared" si="236"/>
        <v>396</v>
      </c>
      <c r="CG76" s="71">
        <f t="shared" si="237"/>
        <v>422</v>
      </c>
      <c r="CH76" s="70">
        <f t="shared" si="238"/>
        <v>53</v>
      </c>
      <c r="CI76" s="71">
        <f t="shared" si="239"/>
        <v>57</v>
      </c>
      <c r="CJ76" s="72">
        <f t="shared" si="240"/>
        <v>89</v>
      </c>
      <c r="CK76" s="72">
        <f t="shared" si="241"/>
        <v>93</v>
      </c>
      <c r="CL76" s="72">
        <f t="shared" si="242"/>
        <v>129</v>
      </c>
      <c r="CM76" s="72">
        <f t="shared" si="243"/>
        <v>137</v>
      </c>
      <c r="CN76" s="72">
        <f t="shared" si="244"/>
        <v>169</v>
      </c>
      <c r="CO76" s="72">
        <f t="shared" si="245"/>
        <v>180</v>
      </c>
      <c r="CP76" s="72">
        <f t="shared" si="246"/>
        <v>225</v>
      </c>
      <c r="CQ76" s="72">
        <f t="shared" si="247"/>
        <v>391</v>
      </c>
      <c r="CR76" s="72">
        <f t="shared" si="248"/>
        <v>421</v>
      </c>
      <c r="CS76" s="72">
        <f t="shared" si="249"/>
        <v>435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0"/>
        <v>acm1_human_5CXV</v>
      </c>
      <c r="B77" s="3" t="s">
        <v>146</v>
      </c>
      <c r="C77" s="3" t="s">
        <v>62</v>
      </c>
      <c r="D77" s="3" t="str">
        <f>IFERROR(MID(VLOOKUP($B77,Seqs!$A:$B,2,0),E77,1),"")</f>
        <v>P</v>
      </c>
      <c r="E77" s="3">
        <v>22</v>
      </c>
      <c r="F77" s="3" t="str">
        <f>IFERROR(MID(VLOOKUP($B77,Seqs!$A:$B,2,0),G77,1),"")</f>
        <v>N</v>
      </c>
      <c r="G77" s="3">
        <v>53</v>
      </c>
      <c r="H77" s="3" t="str">
        <f>IFERROR(MID(VLOOKUP($B77,Seqs!$A:$B,2,0),I77,1),"")</f>
        <v>T</v>
      </c>
      <c r="I77" s="23">
        <v>54</v>
      </c>
      <c r="J77" s="3" t="str">
        <f>IFERROR(MID(VLOOKUP($B77,Seqs!$A:$B,2,0),K77,1),"")</f>
        <v>K</v>
      </c>
      <c r="K77" s="23">
        <v>57</v>
      </c>
      <c r="L77" s="3" t="str">
        <f>IFERROR(MID(VLOOKUP($B77,Seqs!$A:$B,2,0),M77,1),"")</f>
        <v>T</v>
      </c>
      <c r="M77" s="3">
        <v>58</v>
      </c>
      <c r="N77" s="3" t="str">
        <f>IFERROR(MID(VLOOKUP($B77,Seqs!$A:$B,2,0),O77,1),"")</f>
        <v>G</v>
      </c>
      <c r="O77" s="3">
        <v>89</v>
      </c>
      <c r="P77" s="3" t="str">
        <f>IFERROR(MID(VLOOKUP($B77,Seqs!$A:$B,2,0),Q77,1),"")</f>
        <v>H</v>
      </c>
      <c r="Q77" s="3">
        <v>90</v>
      </c>
      <c r="R77" s="3" t="str">
        <f>IFERROR(MID(VLOOKUP($B77,Seqs!$A:$B,2,0),S77,1),"")</f>
        <v>L</v>
      </c>
      <c r="S77" s="3">
        <v>93</v>
      </c>
      <c r="T77" s="3" t="str">
        <f>IFERROR(MID(VLOOKUP($B77,Seqs!$A:$B,2,0),U77,1),"")</f>
        <v>G</v>
      </c>
      <c r="U77" s="3">
        <v>94</v>
      </c>
      <c r="V77" s="3" t="str">
        <f>IFERROR(MID(VLOOKUP($B77,Seqs!$A:$B,2,0),W77,1),"")</f>
        <v>R</v>
      </c>
      <c r="W77" s="3">
        <v>129</v>
      </c>
      <c r="X77" s="3" t="str">
        <f>IFERROR(MID(VLOOKUP($B77,Seqs!$A:$B,2,0),Y77,1),"")</f>
        <v>P</v>
      </c>
      <c r="Y77" s="3">
        <v>130</v>
      </c>
      <c r="Z77" s="3" t="str">
        <f>IFERROR(MID(VLOOKUP($B77,Seqs!$A:$B,2,0),AA77,1),"")</f>
        <v>R</v>
      </c>
      <c r="AA77" s="3">
        <v>137</v>
      </c>
      <c r="AB77" s="3" t="str">
        <f>IFERROR(MID(VLOOKUP($B77,Seqs!$A:$B,2,0),AC77,1),"")</f>
        <v>T</v>
      </c>
      <c r="AC77" s="9">
        <v>138</v>
      </c>
      <c r="AD77" s="3" t="str">
        <f>IFERROR(MID(VLOOKUP($B77,Seqs!$A:$B,2,0),AE77,1),"")</f>
        <v>G</v>
      </c>
      <c r="AE77" s="3">
        <v>169</v>
      </c>
      <c r="AF77" s="3" t="str">
        <f>IFERROR(MID(VLOOKUP($B77,Seqs!$A:$B,2,0),AG77,1),"")</f>
        <v>C</v>
      </c>
      <c r="AG77" s="3">
        <v>178</v>
      </c>
      <c r="AH77" s="3" t="str">
        <f>IFERROR(MID(VLOOKUP($B77,Seqs!$A:$B,2,0),AI77,1),"")</f>
        <v>I</v>
      </c>
      <c r="AI77" s="3">
        <v>180</v>
      </c>
      <c r="AJ77" s="3" t="str">
        <f>IFERROR(MID(VLOOKUP($B77,Seqs!$A:$B,2,0),AK77,1),"")</f>
        <v>Q</v>
      </c>
      <c r="AK77" s="3">
        <v>185</v>
      </c>
      <c r="AL77" s="3" t="str">
        <f>IFERROR(MID(VLOOKUP($B77,Seqs!$A:$B,2,0),AM77,1),"")</f>
        <v>R</v>
      </c>
      <c r="AM77" s="3">
        <v>213</v>
      </c>
      <c r="AN77" s="3" t="str">
        <f>IFERROR(MID(VLOOKUP($B77,Seqs!$A:$B,2,0),AO77,1),"")</f>
        <v>L</v>
      </c>
      <c r="AO77" s="3">
        <v>357</v>
      </c>
      <c r="AP77" s="3" t="str">
        <f>IFERROR(MID(VLOOKUP($B77,Seqs!$A:$B,2,0),AQ77,1),"")</f>
        <v>C</v>
      </c>
      <c r="AQ77" s="3">
        <v>391</v>
      </c>
      <c r="AR77" s="3" t="str">
        <f>IFERROR(MID(VLOOKUP($B77,Seqs!$A:$B,2,0),AS77,1),"")</f>
        <v>P</v>
      </c>
      <c r="AS77" s="3">
        <v>396</v>
      </c>
      <c r="AT77" s="3" t="str">
        <f>IFERROR(MID(VLOOKUP($B77,Seqs!$A:$B,2,0),AU77,1),"")</f>
        <v>C</v>
      </c>
      <c r="AU77" s="3">
        <v>421</v>
      </c>
      <c r="AV77" s="3" t="str">
        <f>IFERROR(MID(VLOOKUP($B77,Seqs!$A:$B,2,0),AW77,1),"")</f>
        <v>N</v>
      </c>
      <c r="AW77" s="3">
        <v>422</v>
      </c>
      <c r="AX77" s="3" t="str">
        <f>IFERROR(MID(VLOOKUP($B77,Seqs!$A:$B,2,0),AY77,1),"")</f>
        <v>C</v>
      </c>
      <c r="AY77" s="3">
        <v>435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255</v>
      </c>
      <c r="BD77" s="16" t="s">
        <v>23</v>
      </c>
      <c r="BE77" s="3" t="s">
        <v>1370</v>
      </c>
      <c r="BF77" s="118">
        <v>2.7</v>
      </c>
      <c r="BG77" s="49" t="s">
        <v>1373</v>
      </c>
      <c r="BH77" s="49" t="s">
        <v>1373</v>
      </c>
      <c r="BI77" s="1"/>
      <c r="BJ77" s="70" t="s">
        <v>1283</v>
      </c>
      <c r="BK77" s="57" t="s">
        <v>1283</v>
      </c>
      <c r="BL77" s="57" t="s">
        <v>1283</v>
      </c>
      <c r="BM77" s="57" t="s">
        <v>1283</v>
      </c>
      <c r="BN77" s="57" t="s">
        <v>1283</v>
      </c>
      <c r="BO77" s="57" t="s">
        <v>1283</v>
      </c>
      <c r="BP77" s="57" t="s">
        <v>1283</v>
      </c>
      <c r="BQ77" s="57" t="s">
        <v>1283</v>
      </c>
      <c r="BR77" s="57" t="s">
        <v>1283</v>
      </c>
      <c r="BS77" s="57" t="s">
        <v>1283</v>
      </c>
      <c r="BT77" s="57" t="s">
        <v>1283</v>
      </c>
      <c r="BU77" s="57" t="s">
        <v>1283</v>
      </c>
      <c r="BV77" s="70">
        <f t="shared" si="226"/>
        <v>22</v>
      </c>
      <c r="BW77" s="71">
        <f t="shared" si="227"/>
        <v>54</v>
      </c>
      <c r="BX77" s="72">
        <f t="shared" si="228"/>
        <v>58</v>
      </c>
      <c r="BY77" s="71">
        <f t="shared" si="229"/>
        <v>90</v>
      </c>
      <c r="BZ77" s="72">
        <f t="shared" si="230"/>
        <v>94</v>
      </c>
      <c r="CA77" s="71">
        <f t="shared" si="231"/>
        <v>130</v>
      </c>
      <c r="CB77" s="72">
        <f t="shared" si="232"/>
        <v>138</v>
      </c>
      <c r="CC77" s="71">
        <f t="shared" si="233"/>
        <v>178</v>
      </c>
      <c r="CD77" s="72">
        <f t="shared" si="234"/>
        <v>185</v>
      </c>
      <c r="CE77" s="71">
        <f t="shared" si="235"/>
        <v>357</v>
      </c>
      <c r="CF77" s="72">
        <f t="shared" si="236"/>
        <v>396</v>
      </c>
      <c r="CG77" s="71">
        <f t="shared" si="237"/>
        <v>422</v>
      </c>
      <c r="CH77" s="70">
        <f t="shared" si="238"/>
        <v>53</v>
      </c>
      <c r="CI77" s="71">
        <f t="shared" si="239"/>
        <v>57</v>
      </c>
      <c r="CJ77" s="72">
        <f t="shared" si="240"/>
        <v>89</v>
      </c>
      <c r="CK77" s="72">
        <f t="shared" si="241"/>
        <v>93</v>
      </c>
      <c r="CL77" s="72">
        <f t="shared" si="242"/>
        <v>129</v>
      </c>
      <c r="CM77" s="72">
        <f t="shared" si="243"/>
        <v>137</v>
      </c>
      <c r="CN77" s="72">
        <f t="shared" si="244"/>
        <v>169</v>
      </c>
      <c r="CO77" s="72">
        <f t="shared" si="245"/>
        <v>180</v>
      </c>
      <c r="CP77" s="72">
        <f t="shared" si="246"/>
        <v>213</v>
      </c>
      <c r="CQ77" s="72">
        <f t="shared" si="247"/>
        <v>391</v>
      </c>
      <c r="CR77" s="72">
        <f t="shared" si="248"/>
        <v>421</v>
      </c>
      <c r="CS77" s="72">
        <f t="shared" si="249"/>
        <v>435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503">CONCATENATE(B78,"_",C78)</f>
        <v>acm1_human_6OIJ</v>
      </c>
      <c r="B78" s="3" t="s">
        <v>146</v>
      </c>
      <c r="C78" s="3" t="s">
        <v>1573</v>
      </c>
      <c r="D78" s="3" t="str">
        <f>IFERROR(MID(VLOOKUP($B78,Seqs!$A:$B,2,0),E78,1),"")</f>
        <v>W</v>
      </c>
      <c r="E78" s="3">
        <v>23</v>
      </c>
      <c r="F78" s="3" t="str">
        <f>IFERROR(MID(VLOOKUP($B78,Seqs!$A:$B,2,0),G78,1),"")</f>
        <v>N</v>
      </c>
      <c r="G78" s="3">
        <v>53</v>
      </c>
      <c r="H78" s="3" t="str">
        <f>IFERROR(MID(VLOOKUP($B78,Seqs!$A:$B,2,0),I78,1),"")</f>
        <v>T</v>
      </c>
      <c r="I78" s="23">
        <v>54</v>
      </c>
      <c r="J78" s="3" t="str">
        <f>IFERROR(MID(VLOOKUP($B78,Seqs!$A:$B,2,0),K78,1),"")</f>
        <v>K</v>
      </c>
      <c r="K78" s="23">
        <v>57</v>
      </c>
      <c r="L78" s="3" t="str">
        <f>IFERROR(MID(VLOOKUP($B78,Seqs!$A:$B,2,0),M78,1),"")</f>
        <v>N</v>
      </c>
      <c r="M78" s="3">
        <v>60</v>
      </c>
      <c r="N78" s="3" t="str">
        <f>IFERROR(MID(VLOOKUP($B78,Seqs!$A:$B,2,0),O78,1),"")</f>
        <v>G</v>
      </c>
      <c r="O78" s="3">
        <v>89</v>
      </c>
      <c r="P78" s="3" t="str">
        <f>IFERROR(MID(VLOOKUP($B78,Seqs!$A:$B,2,0),Q78,1),"")</f>
        <v>H</v>
      </c>
      <c r="Q78" s="3">
        <v>90</v>
      </c>
      <c r="R78" s="3" t="str">
        <f>IFERROR(MID(VLOOKUP($B78,Seqs!$A:$B,2,0),S78,1),"")</f>
        <v>L</v>
      </c>
      <c r="S78" s="3">
        <v>93</v>
      </c>
      <c r="T78" s="3" t="str">
        <f>IFERROR(MID(VLOOKUP($B78,Seqs!$A:$B,2,0),U78,1),"")</f>
        <v>G</v>
      </c>
      <c r="U78" s="3">
        <v>94</v>
      </c>
      <c r="V78" s="3" t="str">
        <f>IFERROR(MID(VLOOKUP($B78,Seqs!$A:$B,2,0),W78,1),"")</f>
        <v>R</v>
      </c>
      <c r="W78" s="3">
        <v>129</v>
      </c>
      <c r="X78" s="3" t="str">
        <f>IFERROR(MID(VLOOKUP($B78,Seqs!$A:$B,2,0),Y78,1),"")</f>
        <v>P</v>
      </c>
      <c r="Y78" s="3">
        <v>130</v>
      </c>
      <c r="Z78" s="3" t="str">
        <f>IFERROR(MID(VLOOKUP($B78,Seqs!$A:$B,2,0),AA78,1),"")</f>
        <v>R</v>
      </c>
      <c r="AA78" s="3">
        <v>137</v>
      </c>
      <c r="AB78" s="3" t="str">
        <f>IFERROR(MID(VLOOKUP($B78,Seqs!$A:$B,2,0),AC78,1),"")</f>
        <v>T</v>
      </c>
      <c r="AC78" s="3">
        <v>138</v>
      </c>
      <c r="AD78" s="3" t="str">
        <f>IFERROR(MID(VLOOKUP($B78,Seqs!$A:$B,2,0),AE78,1),"")</f>
        <v>G</v>
      </c>
      <c r="AE78" s="3">
        <v>169</v>
      </c>
      <c r="AF78" s="3" t="str">
        <f>IFERROR(MID(VLOOKUP($B78,Seqs!$A:$B,2,0),AG78,1),"")</f>
        <v>C</v>
      </c>
      <c r="AG78" s="3">
        <v>178</v>
      </c>
      <c r="AH78" s="3" t="str">
        <f>IFERROR(MID(VLOOKUP($B78,Seqs!$A:$B,2,0),AI78,1),"")</f>
        <v>I</v>
      </c>
      <c r="AI78" s="3">
        <v>180</v>
      </c>
      <c r="AJ78" s="3" t="str">
        <f>IFERROR(MID(VLOOKUP($B78,Seqs!$A:$B,2,0),AK78,1),"")</f>
        <v>Q</v>
      </c>
      <c r="AK78" s="3">
        <v>185</v>
      </c>
      <c r="AL78" s="3" t="str">
        <f>IFERROR(MID(VLOOKUP($B78,Seqs!$A:$B,2,0),AM78,1),"")</f>
        <v>L</v>
      </c>
      <c r="AM78" s="3">
        <v>225</v>
      </c>
      <c r="AN78" s="3" t="str">
        <f>IFERROR(MID(VLOOKUP($B78,Seqs!$A:$B,2,0),AO78,1),"")</f>
        <v>K</v>
      </c>
      <c r="AO78" s="3">
        <v>362</v>
      </c>
      <c r="AP78" s="3" t="str">
        <f>IFERROR(MID(VLOOKUP($B78,Seqs!$A:$B,2,0),AQ78,1),"")</f>
        <v>C</v>
      </c>
      <c r="AQ78" s="3">
        <v>391</v>
      </c>
      <c r="AR78" s="3" t="str">
        <f>IFERROR(MID(VLOOKUP($B78,Seqs!$A:$B,2,0),AS78,1),"")</f>
        <v>E</v>
      </c>
      <c r="AS78" s="3">
        <v>397</v>
      </c>
      <c r="AT78" s="3" t="str">
        <f>IFERROR(MID(VLOOKUP($B78,Seqs!$A:$B,2,0),AU78,1),"")</f>
        <v>C</v>
      </c>
      <c r="AU78" s="3">
        <v>421</v>
      </c>
      <c r="AV78" s="3" t="str">
        <f>IFERROR(MID(VLOOKUP($B78,Seqs!$A:$B,2,0),AW78,1),"")</f>
        <v>N</v>
      </c>
      <c r="AW78" s="3">
        <v>422</v>
      </c>
      <c r="AX78" s="3" t="str">
        <f>IFERROR(MID(VLOOKUP($B78,Seqs!$A:$B,2,0),AY78,1),"")</f>
        <v>L</v>
      </c>
      <c r="AY78" s="3">
        <v>433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505">_xlfn.AGGREGATE(9,6,CH78:CS78)-_xlfn.AGGREGATE(9,6,BV78:CG78)+12</f>
        <v>256</v>
      </c>
      <c r="BD78" s="16" t="s">
        <v>1371</v>
      </c>
      <c r="BE78" s="3" t="s">
        <v>1287</v>
      </c>
      <c r="BF78" s="118">
        <v>3.3</v>
      </c>
      <c r="BG78" s="49" t="s">
        <v>1418</v>
      </c>
      <c r="BH78" s="49" t="s">
        <v>1418</v>
      </c>
      <c r="BI78" s="1"/>
      <c r="BJ78" s="70" t="s">
        <v>1283</v>
      </c>
      <c r="BK78" s="57" t="s">
        <v>1283</v>
      </c>
      <c r="BL78" s="57" t="s">
        <v>1283</v>
      </c>
      <c r="BM78" s="57" t="s">
        <v>1283</v>
      </c>
      <c r="BN78" s="57" t="s">
        <v>1283</v>
      </c>
      <c r="BO78" s="57" t="s">
        <v>1283</v>
      </c>
      <c r="BP78" s="57" t="s">
        <v>1283</v>
      </c>
      <c r="BQ78" s="57" t="s">
        <v>1283</v>
      </c>
      <c r="BR78" s="57" t="s">
        <v>1283</v>
      </c>
      <c r="BS78" s="57" t="s">
        <v>1283</v>
      </c>
      <c r="BT78" s="57" t="s">
        <v>1283</v>
      </c>
      <c r="BU78" s="57" t="s">
        <v>1283</v>
      </c>
      <c r="BV78" s="70">
        <f t="shared" ref="BV78" si="506">E78</f>
        <v>23</v>
      </c>
      <c r="BW78" s="71">
        <f t="shared" ref="BW78" si="507">I78</f>
        <v>54</v>
      </c>
      <c r="BX78" s="72">
        <f t="shared" ref="BX78" si="508">M78</f>
        <v>60</v>
      </c>
      <c r="BY78" s="71">
        <f t="shared" ref="BY78" si="509">Q78</f>
        <v>90</v>
      </c>
      <c r="BZ78" s="72">
        <f t="shared" ref="BZ78" si="510">U78</f>
        <v>94</v>
      </c>
      <c r="CA78" s="71">
        <f t="shared" ref="CA78" si="511">Y78</f>
        <v>130</v>
      </c>
      <c r="CB78" s="72">
        <f t="shared" ref="CB78" si="512">AC78</f>
        <v>138</v>
      </c>
      <c r="CC78" s="71">
        <f t="shared" ref="CC78" si="513">AG78</f>
        <v>178</v>
      </c>
      <c r="CD78" s="72">
        <f t="shared" ref="CD78" si="514">AK78</f>
        <v>185</v>
      </c>
      <c r="CE78" s="71">
        <f t="shared" ref="CE78" si="515">AO78</f>
        <v>362</v>
      </c>
      <c r="CF78" s="72">
        <f t="shared" ref="CF78" si="516">AS78</f>
        <v>397</v>
      </c>
      <c r="CG78" s="71">
        <f t="shared" ref="CG78" si="517">AW78</f>
        <v>422</v>
      </c>
      <c r="CH78" s="70">
        <f t="shared" ref="CH78" si="518">G78</f>
        <v>53</v>
      </c>
      <c r="CI78" s="71">
        <f t="shared" ref="CI78" si="519">K78</f>
        <v>57</v>
      </c>
      <c r="CJ78" s="72">
        <f t="shared" ref="CJ78" si="520">O78</f>
        <v>89</v>
      </c>
      <c r="CK78" s="72">
        <f t="shared" ref="CK78" si="521">S78</f>
        <v>93</v>
      </c>
      <c r="CL78" s="72">
        <f t="shared" ref="CL78" si="522">W78</f>
        <v>129</v>
      </c>
      <c r="CM78" s="72">
        <f t="shared" ref="CM78" si="523">AA78</f>
        <v>137</v>
      </c>
      <c r="CN78" s="72">
        <f t="shared" ref="CN78" si="524">AE78</f>
        <v>169</v>
      </c>
      <c r="CO78" s="72">
        <f t="shared" ref="CO78" si="525">AI78</f>
        <v>180</v>
      </c>
      <c r="CP78" s="72">
        <f t="shared" ref="CP78" si="526">AM78</f>
        <v>225</v>
      </c>
      <c r="CQ78" s="72">
        <f t="shared" ref="CQ78" si="527">AQ78</f>
        <v>391</v>
      </c>
      <c r="CR78" s="72">
        <f t="shared" ref="CR78" si="528">AU78</f>
        <v>421</v>
      </c>
      <c r="CS78" s="72">
        <f t="shared" ref="CS78" si="529">AY78</f>
        <v>433</v>
      </c>
      <c r="CT78" s="23">
        <f t="shared" ref="CT78" si="530">M78-K78</f>
        <v>3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s="12" customFormat="1" x14ac:dyDescent="0.2">
      <c r="A79" s="9" t="str">
        <f t="shared" ref="A79" si="531">CONCATENATE(B79,"_",C79)</f>
        <v>acm1_human_6WJC</v>
      </c>
      <c r="B79" s="9" t="s">
        <v>146</v>
      </c>
      <c r="C79" s="9" t="s">
        <v>1674</v>
      </c>
      <c r="D79" s="9" t="str">
        <f>IFERROR(MID(VLOOKUP($B79,Seqs!$A:$B,2,0),E79,1),"")</f>
        <v>P</v>
      </c>
      <c r="E79" s="9">
        <v>22</v>
      </c>
      <c r="F79" s="9" t="str">
        <f>IFERROR(MID(VLOOKUP($B79,Seqs!$A:$B,2,0),G79,1),"")</f>
        <v>N</v>
      </c>
      <c r="G79" s="9">
        <v>53</v>
      </c>
      <c r="H79" s="9" t="str">
        <f>IFERROR(MID(VLOOKUP($B79,Seqs!$A:$B,2,0),I79,1),"")</f>
        <v>T</v>
      </c>
      <c r="I79" s="109">
        <v>54</v>
      </c>
      <c r="J79" s="9" t="str">
        <f>IFERROR(MID(VLOOKUP($B79,Seqs!$A:$B,2,0),K79,1),"")</f>
        <v>K</v>
      </c>
      <c r="K79" s="109">
        <v>57</v>
      </c>
      <c r="L79" s="9" t="str">
        <f>IFERROR(MID(VLOOKUP($B79,Seqs!$A:$B,2,0),M79,1),"")</f>
        <v>T</v>
      </c>
      <c r="M79" s="9">
        <v>58</v>
      </c>
      <c r="N79" s="9" t="str">
        <f>IFERROR(MID(VLOOKUP($B79,Seqs!$A:$B,2,0),O79,1),"")</f>
        <v>G</v>
      </c>
      <c r="O79" s="9">
        <v>89</v>
      </c>
      <c r="P79" s="9" t="str">
        <f>IFERROR(MID(VLOOKUP($B79,Seqs!$A:$B,2,0),Q79,1),"")</f>
        <v>H</v>
      </c>
      <c r="Q79" s="9">
        <v>90</v>
      </c>
      <c r="R79" s="9" t="str">
        <f>IFERROR(MID(VLOOKUP($B79,Seqs!$A:$B,2,0),S79,1),"")</f>
        <v>L</v>
      </c>
      <c r="S79" s="9">
        <v>93</v>
      </c>
      <c r="T79" s="9" t="str">
        <f>IFERROR(MID(VLOOKUP($B79,Seqs!$A:$B,2,0),U79,1),"")</f>
        <v>G</v>
      </c>
      <c r="U79" s="9">
        <v>94</v>
      </c>
      <c r="V79" s="9" t="str">
        <f>IFERROR(MID(VLOOKUP($B79,Seqs!$A:$B,2,0),W79,1),"")</f>
        <v>R</v>
      </c>
      <c r="W79" s="9">
        <v>129</v>
      </c>
      <c r="X79" s="9" t="str">
        <f>IFERROR(MID(VLOOKUP($B79,Seqs!$A:$B,2,0),Y79,1),"")</f>
        <v>P</v>
      </c>
      <c r="Y79" s="9">
        <v>130</v>
      </c>
      <c r="Z79" s="9" t="str">
        <f>IFERROR(MID(VLOOKUP($B79,Seqs!$A:$B,2,0),AA79,1),"")</f>
        <v>R</v>
      </c>
      <c r="AA79" s="9">
        <v>137</v>
      </c>
      <c r="AB79" s="9" t="str">
        <f>IFERROR(MID(VLOOKUP($B79,Seqs!$A:$B,2,0),AC79,1),"")</f>
        <v>T</v>
      </c>
      <c r="AC79" s="9">
        <v>138</v>
      </c>
      <c r="AD79" s="9" t="str">
        <f>IFERROR(MID(VLOOKUP($B79,Seqs!$A:$B,2,0),AE79,1),"")</f>
        <v>G</v>
      </c>
      <c r="AE79" s="9">
        <v>169</v>
      </c>
      <c r="AF79" s="9" t="str">
        <f>IFERROR(MID(VLOOKUP($B79,Seqs!$A:$B,2,0),AG79,1),"")</f>
        <v>C</v>
      </c>
      <c r="AG79" s="9">
        <v>178</v>
      </c>
      <c r="AH79" s="9" t="str">
        <f>IFERROR(MID(VLOOKUP($B79,Seqs!$A:$B,2,0),AI79,1),"")</f>
        <v>I</v>
      </c>
      <c r="AI79" s="9">
        <v>180</v>
      </c>
      <c r="AJ79" s="9" t="str">
        <f>IFERROR(MID(VLOOKUP($B79,Seqs!$A:$B,2,0),AK79,1),"")</f>
        <v>Q</v>
      </c>
      <c r="AK79" s="9">
        <v>185</v>
      </c>
      <c r="AL79" s="9" t="str">
        <f>IFERROR(MID(VLOOKUP($B79,Seqs!$A:$B,2,0),AM79,1),"")</f>
        <v>T</v>
      </c>
      <c r="AM79" s="9">
        <v>215</v>
      </c>
      <c r="AN79" s="9" t="str">
        <f>IFERROR(MID(VLOOKUP($B79,Seqs!$A:$B,2,0),AO79,1),"")</f>
        <v>V</v>
      </c>
      <c r="AO79" s="9">
        <v>358</v>
      </c>
      <c r="AP79" s="9" t="str">
        <f>IFERROR(MID(VLOOKUP($B79,Seqs!$A:$B,2,0),AQ79,1),"")</f>
        <v>C</v>
      </c>
      <c r="AQ79" s="9">
        <v>391</v>
      </c>
      <c r="AR79" s="9" t="str">
        <f>IFERROR(MID(VLOOKUP($B79,Seqs!$A:$B,2,0),AS79,1),"")</f>
        <v>P</v>
      </c>
      <c r="AS79" s="9">
        <v>396</v>
      </c>
      <c r="AT79" s="9" t="str">
        <f>IFERROR(MID(VLOOKUP($B79,Seqs!$A:$B,2,0),AU79,1),"")</f>
        <v>C</v>
      </c>
      <c r="AU79" s="9">
        <v>421</v>
      </c>
      <c r="AV79" s="9" t="str">
        <f>IFERROR(MID(VLOOKUP($B79,Seqs!$A:$B,2,0),AW79,1),"")</f>
        <v>N</v>
      </c>
      <c r="AW79" s="9">
        <v>422</v>
      </c>
      <c r="AX79" s="9" t="str">
        <f>IFERROR(MID(VLOOKUP($B79,Seqs!$A:$B,2,0),AY79,1),"")</f>
        <v>C</v>
      </c>
      <c r="AY79" s="9">
        <v>435</v>
      </c>
      <c r="AZ79" s="110" t="str">
        <f>VLOOKUP(B79,Classification!A:D,2,0)</f>
        <v>A</v>
      </c>
      <c r="BA79" s="98" t="str">
        <f>VLOOKUP(B79,Classification!A:D,4,0)</f>
        <v>Acetylcholine(muscarinic)</v>
      </c>
      <c r="BB79" s="36" t="b">
        <f t="shared" ref="BB79" si="532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09">
        <f t="shared" ref="BC79" si="533">_xlfn.AGGREGATE(9,6,CH79:CS79)-_xlfn.AGGREGATE(9,6,BV79:CG79)+12</f>
        <v>256</v>
      </c>
      <c r="BD79" s="125" t="s">
        <v>1372</v>
      </c>
      <c r="BE79" s="9" t="s">
        <v>1370</v>
      </c>
      <c r="BF79" s="119">
        <v>2.5499999999999998</v>
      </c>
      <c r="BG79" s="51" t="s">
        <v>1</v>
      </c>
      <c r="BH79" s="51" t="s">
        <v>1</v>
      </c>
      <c r="BJ79" s="111" t="s">
        <v>1283</v>
      </c>
      <c r="BK79" s="112" t="s">
        <v>1283</v>
      </c>
      <c r="BL79" s="112" t="s">
        <v>1283</v>
      </c>
      <c r="BM79" s="112" t="s">
        <v>1283</v>
      </c>
      <c r="BN79" s="112" t="s">
        <v>1283</v>
      </c>
      <c r="BO79" s="112" t="s">
        <v>1283</v>
      </c>
      <c r="BP79" s="112" t="s">
        <v>1283</v>
      </c>
      <c r="BQ79" s="112" t="s">
        <v>1283</v>
      </c>
      <c r="BR79" s="112" t="s">
        <v>1283</v>
      </c>
      <c r="BS79" s="112" t="s">
        <v>1283</v>
      </c>
      <c r="BT79" s="112" t="s">
        <v>1283</v>
      </c>
      <c r="BU79" s="112" t="s">
        <v>1283</v>
      </c>
      <c r="BV79" s="111">
        <f t="shared" ref="BV79" si="534">E79</f>
        <v>22</v>
      </c>
      <c r="BW79" s="113">
        <f t="shared" ref="BW79" si="535">I79</f>
        <v>54</v>
      </c>
      <c r="BX79" s="114">
        <f t="shared" ref="BX79" si="536">M79</f>
        <v>58</v>
      </c>
      <c r="BY79" s="113">
        <f t="shared" ref="BY79" si="537">Q79</f>
        <v>90</v>
      </c>
      <c r="BZ79" s="114">
        <f t="shared" ref="BZ79" si="538">U79</f>
        <v>94</v>
      </c>
      <c r="CA79" s="113">
        <f t="shared" ref="CA79" si="539">Y79</f>
        <v>130</v>
      </c>
      <c r="CB79" s="114">
        <f t="shared" ref="CB79" si="540">AC79</f>
        <v>138</v>
      </c>
      <c r="CC79" s="113">
        <f t="shared" ref="CC79" si="541">AG79</f>
        <v>178</v>
      </c>
      <c r="CD79" s="114">
        <f t="shared" ref="CD79" si="542">AK79</f>
        <v>185</v>
      </c>
      <c r="CE79" s="113">
        <f t="shared" ref="CE79" si="543">AO79</f>
        <v>358</v>
      </c>
      <c r="CF79" s="114">
        <f t="shared" ref="CF79" si="544">AS79</f>
        <v>396</v>
      </c>
      <c r="CG79" s="113">
        <f t="shared" ref="CG79" si="545">AW79</f>
        <v>422</v>
      </c>
      <c r="CH79" s="111">
        <f t="shared" ref="CH79" si="546">G79</f>
        <v>53</v>
      </c>
      <c r="CI79" s="113">
        <f t="shared" ref="CI79" si="547">K79</f>
        <v>57</v>
      </c>
      <c r="CJ79" s="114">
        <f t="shared" ref="CJ79" si="548">O79</f>
        <v>89</v>
      </c>
      <c r="CK79" s="114">
        <f t="shared" ref="CK79" si="549">S79</f>
        <v>93</v>
      </c>
      <c r="CL79" s="114">
        <f t="shared" ref="CL79" si="550">W79</f>
        <v>129</v>
      </c>
      <c r="CM79" s="114">
        <f t="shared" ref="CM79" si="551">AA79</f>
        <v>137</v>
      </c>
      <c r="CN79" s="114">
        <f t="shared" ref="CN79" si="552">AE79</f>
        <v>169</v>
      </c>
      <c r="CO79" s="114">
        <f t="shared" ref="CO79" si="553">AI79</f>
        <v>180</v>
      </c>
      <c r="CP79" s="114">
        <f t="shared" ref="CP79" si="554">AM79</f>
        <v>215</v>
      </c>
      <c r="CQ79" s="114">
        <f t="shared" ref="CQ79" si="555">AQ79</f>
        <v>391</v>
      </c>
      <c r="CR79" s="114">
        <f t="shared" ref="CR79" si="556">AU79</f>
        <v>421</v>
      </c>
      <c r="CS79" s="114">
        <f t="shared" ref="CS79" si="557">AY79</f>
        <v>435</v>
      </c>
      <c r="CT79" s="109">
        <f t="shared" ref="CT79" si="558">M79-K79</f>
        <v>1</v>
      </c>
    </row>
    <row r="80" spans="1:1029" x14ac:dyDescent="0.2">
      <c r="A80" s="3" t="str">
        <f t="shared" si="0"/>
        <v>acm2_human__wt</v>
      </c>
      <c r="B80" s="3" t="s">
        <v>147</v>
      </c>
      <c r="C80" s="3" t="s">
        <v>100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105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E</v>
      </c>
      <c r="AM80" s="3">
        <v>223</v>
      </c>
      <c r="AN80" s="3" t="str">
        <f>IFERROR(MID(VLOOKUP($B80,Seqs!$A:$B,2,0),AO80,1),"")</f>
        <v>K</v>
      </c>
      <c r="AO80" s="3">
        <v>376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1"/>
        <v>1</v>
      </c>
      <c r="BC80" s="23">
        <f t="shared" si="225"/>
        <v>270</v>
      </c>
      <c r="BD80" s="56" t="s">
        <v>23</v>
      </c>
      <c r="BE80" s="3" t="s">
        <v>23</v>
      </c>
      <c r="BF80" s="118" t="s">
        <v>23</v>
      </c>
      <c r="BG80" s="49" t="s">
        <v>1368</v>
      </c>
      <c r="BH80" s="49" t="s">
        <v>1373</v>
      </c>
      <c r="BI80" s="1"/>
      <c r="BJ80" s="70" t="s">
        <v>1283</v>
      </c>
      <c r="BK80" s="57" t="s">
        <v>1283</v>
      </c>
      <c r="BL80" s="57" t="s">
        <v>1283</v>
      </c>
      <c r="BM80" s="57" t="s">
        <v>1283</v>
      </c>
      <c r="BN80" s="57" t="s">
        <v>1283</v>
      </c>
      <c r="BO80" s="57" t="s">
        <v>1283</v>
      </c>
      <c r="BP80" s="57" t="s">
        <v>1283</v>
      </c>
      <c r="BQ80" s="57" t="s">
        <v>1283</v>
      </c>
      <c r="BR80" s="57" t="s">
        <v>1283</v>
      </c>
      <c r="BS80" s="57" t="s">
        <v>1283</v>
      </c>
      <c r="BT80" s="57" t="s">
        <v>1283</v>
      </c>
      <c r="BU80" s="57" t="s">
        <v>1283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376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223</v>
      </c>
      <c r="CQ80" s="72">
        <f t="shared" si="247"/>
        <v>413</v>
      </c>
      <c r="CR80" s="72">
        <f t="shared" si="248"/>
        <v>443</v>
      </c>
      <c r="CS80" s="72">
        <f t="shared" si="249"/>
        <v>456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:A138" si="559">CONCATENATE(B81,"_",C81)</f>
        <v>acm2_human_3UON</v>
      </c>
      <c r="B81" s="3" t="s">
        <v>147</v>
      </c>
      <c r="C81" s="3" t="s">
        <v>79</v>
      </c>
      <c r="D81" s="3" t="str">
        <f>IFERROR(MID(VLOOKUP($B81,Seqs!$A:$B,2,0),E81,1),"")</f>
        <v>V</v>
      </c>
      <c r="E81" s="3">
        <v>23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I</v>
      </c>
      <c r="O81" s="3">
        <v>86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9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S</v>
      </c>
      <c r="AM81" s="3">
        <v>213</v>
      </c>
      <c r="AN81" s="3" t="str">
        <f>IFERROR(MID(VLOOKUP($B81,Seqs!$A:$B,2,0),AO81,1),"")</f>
        <v>K</v>
      </c>
      <c r="AO81" s="3">
        <v>384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3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:BB138" si="560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si="225"/>
        <v>247</v>
      </c>
      <c r="BD81" s="16" t="s">
        <v>23</v>
      </c>
      <c r="BE81" s="3" t="s">
        <v>1370</v>
      </c>
      <c r="BF81" s="118">
        <v>3</v>
      </c>
      <c r="BG81" s="49" t="s">
        <v>1373</v>
      </c>
      <c r="BH81" s="49" t="s">
        <v>1373</v>
      </c>
      <c r="BI81" s="1"/>
      <c r="BJ81" s="70" t="s">
        <v>1283</v>
      </c>
      <c r="BK81" s="57" t="s">
        <v>1283</v>
      </c>
      <c r="BL81" s="57" t="s">
        <v>1283</v>
      </c>
      <c r="BM81" s="57" t="s">
        <v>1283</v>
      </c>
      <c r="BN81" s="57" t="s">
        <v>1283</v>
      </c>
      <c r="BO81" s="57" t="s">
        <v>1283</v>
      </c>
      <c r="BP81" s="57" t="s">
        <v>1283</v>
      </c>
      <c r="BQ81" s="57" t="s">
        <v>1283</v>
      </c>
      <c r="BR81" s="57" t="s">
        <v>1283</v>
      </c>
      <c r="BS81" s="57" t="s">
        <v>1283</v>
      </c>
      <c r="BT81" s="57" t="s">
        <v>1283</v>
      </c>
      <c r="BU81" s="57" t="s">
        <v>1283</v>
      </c>
      <c r="BV81" s="70">
        <f t="shared" si="226"/>
        <v>23</v>
      </c>
      <c r="BW81" s="71">
        <f t="shared" si="227"/>
        <v>52</v>
      </c>
      <c r="BX81" s="72">
        <f t="shared" si="228"/>
        <v>56</v>
      </c>
      <c r="BY81" s="71">
        <f t="shared" si="229"/>
        <v>88</v>
      </c>
      <c r="BZ81" s="72">
        <f t="shared" si="230"/>
        <v>92</v>
      </c>
      <c r="CA81" s="71">
        <f t="shared" si="231"/>
        <v>128</v>
      </c>
      <c r="CB81" s="72">
        <f t="shared" si="232"/>
        <v>136</v>
      </c>
      <c r="CC81" s="71">
        <f t="shared" si="233"/>
        <v>176</v>
      </c>
      <c r="CD81" s="72">
        <f t="shared" si="234"/>
        <v>183</v>
      </c>
      <c r="CE81" s="71">
        <f t="shared" si="235"/>
        <v>384</v>
      </c>
      <c r="CF81" s="72">
        <f t="shared" si="236"/>
        <v>418</v>
      </c>
      <c r="CG81" s="71">
        <f t="shared" si="237"/>
        <v>444</v>
      </c>
      <c r="CH81" s="70">
        <f t="shared" si="238"/>
        <v>51</v>
      </c>
      <c r="CI81" s="71">
        <f t="shared" si="239"/>
        <v>55</v>
      </c>
      <c r="CJ81" s="72">
        <f t="shared" si="240"/>
        <v>86</v>
      </c>
      <c r="CK81" s="72">
        <f t="shared" si="241"/>
        <v>91</v>
      </c>
      <c r="CL81" s="72">
        <f t="shared" si="242"/>
        <v>127</v>
      </c>
      <c r="CM81" s="72">
        <f t="shared" si="243"/>
        <v>135</v>
      </c>
      <c r="CN81" s="72">
        <f t="shared" si="244"/>
        <v>167</v>
      </c>
      <c r="CO81" s="72">
        <f t="shared" si="245"/>
        <v>178</v>
      </c>
      <c r="CP81" s="72">
        <f t="shared" si="246"/>
        <v>213</v>
      </c>
      <c r="CQ81" s="72">
        <f t="shared" si="247"/>
        <v>413</v>
      </c>
      <c r="CR81" s="72">
        <f t="shared" si="248"/>
        <v>443</v>
      </c>
      <c r="CS81" s="72">
        <f t="shared" si="249"/>
        <v>456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559"/>
        <v>acm2_human_4MQS</v>
      </c>
      <c r="B82" s="3" t="s">
        <v>147</v>
      </c>
      <c r="C82" s="3" t="s">
        <v>68</v>
      </c>
      <c r="D82" s="3" t="str">
        <f>IFERROR(MID(VLOOKUP($B82,Seqs!$A:$B,2,0),E82,1),"")</f>
        <v>K</v>
      </c>
      <c r="E82" s="3">
        <v>19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9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3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560"/>
        <v>1</v>
      </c>
      <c r="BC82" s="23">
        <f t="shared" si="225"/>
        <v>257</v>
      </c>
      <c r="BD82" s="4" t="s">
        <v>23</v>
      </c>
      <c r="BE82" s="3" t="s">
        <v>1287</v>
      </c>
      <c r="BF82" s="118">
        <v>3.5</v>
      </c>
      <c r="BG82" s="49" t="s">
        <v>1373</v>
      </c>
      <c r="BH82" s="49" t="s">
        <v>1373</v>
      </c>
      <c r="BI82" s="1"/>
      <c r="BJ82" s="70" t="s">
        <v>1283</v>
      </c>
      <c r="BK82" s="57" t="s">
        <v>1283</v>
      </c>
      <c r="BL82" s="57" t="s">
        <v>1283</v>
      </c>
      <c r="BM82" s="57" t="s">
        <v>1283</v>
      </c>
      <c r="BN82" s="57" t="s">
        <v>1283</v>
      </c>
      <c r="BO82" s="57" t="s">
        <v>1283</v>
      </c>
      <c r="BP82" s="57" t="s">
        <v>1283</v>
      </c>
      <c r="BQ82" s="57" t="s">
        <v>1283</v>
      </c>
      <c r="BR82" s="57" t="s">
        <v>1283</v>
      </c>
      <c r="BS82" s="57" t="s">
        <v>1283</v>
      </c>
      <c r="BT82" s="57" t="s">
        <v>1283</v>
      </c>
      <c r="BU82" s="57" t="s">
        <v>1283</v>
      </c>
      <c r="BV82" s="70">
        <f t="shared" si="226"/>
        <v>19</v>
      </c>
      <c r="BW82" s="71">
        <f t="shared" si="227"/>
        <v>52</v>
      </c>
      <c r="BX82" s="72">
        <f t="shared" si="228"/>
        <v>56</v>
      </c>
      <c r="BY82" s="71">
        <f t="shared" si="229"/>
        <v>88</v>
      </c>
      <c r="BZ82" s="72">
        <f t="shared" si="230"/>
        <v>92</v>
      </c>
      <c r="CA82" s="71">
        <f t="shared" si="231"/>
        <v>128</v>
      </c>
      <c r="CB82" s="72">
        <f t="shared" si="232"/>
        <v>136</v>
      </c>
      <c r="CC82" s="71">
        <f t="shared" si="233"/>
        <v>176</v>
      </c>
      <c r="CD82" s="72">
        <f t="shared" si="234"/>
        <v>183</v>
      </c>
      <c r="CE82" s="71">
        <f t="shared" si="235"/>
        <v>380</v>
      </c>
      <c r="CF82" s="72">
        <f t="shared" si="236"/>
        <v>418</v>
      </c>
      <c r="CG82" s="71">
        <f t="shared" si="237"/>
        <v>444</v>
      </c>
      <c r="CH82" s="70">
        <f t="shared" si="238"/>
        <v>51</v>
      </c>
      <c r="CI82" s="71">
        <f t="shared" si="239"/>
        <v>55</v>
      </c>
      <c r="CJ82" s="72">
        <f t="shared" si="240"/>
        <v>87</v>
      </c>
      <c r="CK82" s="72">
        <f t="shared" si="241"/>
        <v>91</v>
      </c>
      <c r="CL82" s="72">
        <f t="shared" si="242"/>
        <v>127</v>
      </c>
      <c r="CM82" s="72">
        <f t="shared" si="243"/>
        <v>135</v>
      </c>
      <c r="CN82" s="72">
        <f t="shared" si="244"/>
        <v>167</v>
      </c>
      <c r="CO82" s="72">
        <f t="shared" si="245"/>
        <v>178</v>
      </c>
      <c r="CP82" s="72">
        <f t="shared" si="246"/>
        <v>214</v>
      </c>
      <c r="CQ82" s="72">
        <f t="shared" si="247"/>
        <v>413</v>
      </c>
      <c r="CR82" s="72">
        <f t="shared" si="248"/>
        <v>443</v>
      </c>
      <c r="CS82" s="72">
        <f t="shared" si="249"/>
        <v>456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559"/>
        <v>acm2_human_4MQT</v>
      </c>
      <c r="B83" s="3" t="s">
        <v>147</v>
      </c>
      <c r="C83" s="3" t="s">
        <v>1042</v>
      </c>
      <c r="D83" s="3" t="str">
        <f>IFERROR(MID(VLOOKUP($B83,Seqs!$A:$B,2,0),E83,1),"")</f>
        <v>K</v>
      </c>
      <c r="E83" s="3">
        <v>19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9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S</v>
      </c>
      <c r="AM83" s="3">
        <v>215</v>
      </c>
      <c r="AN83" s="3" t="str">
        <f>IFERROR(MID(VLOOKUP($B83,Seqs!$A:$B,2,0),AO83,1),"")</f>
        <v>P</v>
      </c>
      <c r="AO83" s="3">
        <v>379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3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C</v>
      </c>
      <c r="AY83" s="3">
        <v>457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560"/>
        <v>1</v>
      </c>
      <c r="BC83" s="23">
        <f t="shared" si="225"/>
        <v>260</v>
      </c>
      <c r="BD83" s="4" t="s">
        <v>1371</v>
      </c>
      <c r="BE83" s="3" t="s">
        <v>1287</v>
      </c>
      <c r="BF83" s="118">
        <v>3.7</v>
      </c>
      <c r="BG83" s="49" t="s">
        <v>1373</v>
      </c>
      <c r="BH83" s="49" t="s">
        <v>1373</v>
      </c>
      <c r="BI83" s="1"/>
      <c r="BJ83" s="70" t="s">
        <v>1283</v>
      </c>
      <c r="BK83" s="57" t="s">
        <v>1283</v>
      </c>
      <c r="BL83" s="57" t="s">
        <v>1283</v>
      </c>
      <c r="BM83" s="57" t="s">
        <v>1283</v>
      </c>
      <c r="BN83" s="57" t="s">
        <v>1283</v>
      </c>
      <c r="BO83" s="57" t="s">
        <v>1283</v>
      </c>
      <c r="BP83" s="57" t="s">
        <v>1283</v>
      </c>
      <c r="BQ83" s="57" t="s">
        <v>1283</v>
      </c>
      <c r="BR83" s="57" t="s">
        <v>1283</v>
      </c>
      <c r="BS83" s="57" t="s">
        <v>1283</v>
      </c>
      <c r="BT83" s="57" t="s">
        <v>1283</v>
      </c>
      <c r="BU83" s="57" t="s">
        <v>1283</v>
      </c>
      <c r="BV83" s="70">
        <f t="shared" si="226"/>
        <v>19</v>
      </c>
      <c r="BW83" s="71">
        <f t="shared" si="227"/>
        <v>52</v>
      </c>
      <c r="BX83" s="72">
        <f t="shared" si="228"/>
        <v>56</v>
      </c>
      <c r="BY83" s="71">
        <f t="shared" si="229"/>
        <v>88</v>
      </c>
      <c r="BZ83" s="72">
        <f t="shared" si="230"/>
        <v>92</v>
      </c>
      <c r="CA83" s="71">
        <f t="shared" si="231"/>
        <v>128</v>
      </c>
      <c r="CB83" s="72">
        <f t="shared" si="232"/>
        <v>136</v>
      </c>
      <c r="CC83" s="71">
        <f t="shared" si="233"/>
        <v>176</v>
      </c>
      <c r="CD83" s="72">
        <f t="shared" si="234"/>
        <v>183</v>
      </c>
      <c r="CE83" s="71">
        <f t="shared" si="235"/>
        <v>379</v>
      </c>
      <c r="CF83" s="72">
        <f t="shared" si="236"/>
        <v>418</v>
      </c>
      <c r="CG83" s="71">
        <f t="shared" si="237"/>
        <v>444</v>
      </c>
      <c r="CH83" s="70">
        <f t="shared" si="238"/>
        <v>51</v>
      </c>
      <c r="CI83" s="71">
        <f t="shared" si="239"/>
        <v>55</v>
      </c>
      <c r="CJ83" s="72">
        <f t="shared" si="240"/>
        <v>87</v>
      </c>
      <c r="CK83" s="72">
        <f t="shared" si="241"/>
        <v>91</v>
      </c>
      <c r="CL83" s="72">
        <f t="shared" si="242"/>
        <v>127</v>
      </c>
      <c r="CM83" s="72">
        <f t="shared" si="243"/>
        <v>135</v>
      </c>
      <c r="CN83" s="72">
        <f t="shared" si="244"/>
        <v>167</v>
      </c>
      <c r="CO83" s="72">
        <f t="shared" si="245"/>
        <v>178</v>
      </c>
      <c r="CP83" s="72">
        <f t="shared" si="246"/>
        <v>215</v>
      </c>
      <c r="CQ83" s="72">
        <f t="shared" si="247"/>
        <v>413</v>
      </c>
      <c r="CR83" s="72">
        <f t="shared" si="248"/>
        <v>443</v>
      </c>
      <c r="CS83" s="72">
        <f t="shared" si="249"/>
        <v>457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61">CONCATENATE(B84,"_",C84)</f>
        <v>acm2_human_5ZKC</v>
      </c>
      <c r="B84" s="3" t="s">
        <v>147</v>
      </c>
      <c r="C84" s="3" t="s">
        <v>1526</v>
      </c>
      <c r="D84" s="3" t="str">
        <f>IFERROR(MID(VLOOKUP($B84,Seqs!$A:$B,2,0),E84,1),"")</f>
        <v>P</v>
      </c>
      <c r="E84" s="3">
        <v>17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V</v>
      </c>
      <c r="AE84" s="3">
        <v>166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R</v>
      </c>
      <c r="AO84" s="3">
        <v>381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6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63">_xlfn.AGGREGATE(9,6,CH84:CS84)-_xlfn.AGGREGATE(9,6,BV84:CG84)+12</f>
        <v>257</v>
      </c>
      <c r="BD84" s="4" t="s">
        <v>1372</v>
      </c>
      <c r="BE84" s="3" t="s">
        <v>1370</v>
      </c>
      <c r="BF84" s="118">
        <v>2.2999999999999998</v>
      </c>
      <c r="BG84" s="49" t="s">
        <v>1</v>
      </c>
      <c r="BH84" s="49" t="s">
        <v>1</v>
      </c>
      <c r="BI84" s="1"/>
      <c r="BJ84" s="70" t="s">
        <v>1283</v>
      </c>
      <c r="BK84" s="57" t="s">
        <v>1283</v>
      </c>
      <c r="BL84" s="57" t="s">
        <v>1283</v>
      </c>
      <c r="BM84" s="57" t="s">
        <v>1283</v>
      </c>
      <c r="BN84" s="57" t="s">
        <v>1283</v>
      </c>
      <c r="BO84" s="57" t="s">
        <v>1283</v>
      </c>
      <c r="BP84" s="57" t="s">
        <v>1283</v>
      </c>
      <c r="BQ84" s="57" t="s">
        <v>1283</v>
      </c>
      <c r="BR84" s="57" t="s">
        <v>1283</v>
      </c>
      <c r="BS84" s="57" t="s">
        <v>1283</v>
      </c>
      <c r="BT84" s="57" t="s">
        <v>1283</v>
      </c>
      <c r="BU84" s="57" t="s">
        <v>1283</v>
      </c>
      <c r="BV84" s="70">
        <f t="shared" ref="BV84" si="564">E84</f>
        <v>17</v>
      </c>
      <c r="BW84" s="71">
        <f t="shared" ref="BW84" si="565">I84</f>
        <v>52</v>
      </c>
      <c r="BX84" s="72">
        <f t="shared" ref="BX84" si="566">M84</f>
        <v>56</v>
      </c>
      <c r="BY84" s="71">
        <f t="shared" ref="BY84" si="567">Q84</f>
        <v>88</v>
      </c>
      <c r="BZ84" s="72">
        <f t="shared" ref="BZ84" si="568">U84</f>
        <v>92</v>
      </c>
      <c r="CA84" s="71">
        <f t="shared" ref="CA84" si="569">Y84</f>
        <v>128</v>
      </c>
      <c r="CB84" s="72">
        <f t="shared" ref="CB84" si="570">AC84</f>
        <v>136</v>
      </c>
      <c r="CC84" s="71">
        <f t="shared" ref="CC84" si="571">AG84</f>
        <v>176</v>
      </c>
      <c r="CD84" s="72">
        <f t="shared" ref="CD84" si="572">AK84</f>
        <v>183</v>
      </c>
      <c r="CE84" s="71">
        <f t="shared" ref="CE84" si="573">AO84</f>
        <v>381</v>
      </c>
      <c r="CF84" s="72">
        <f t="shared" ref="CF84" si="574">AS84</f>
        <v>418</v>
      </c>
      <c r="CG84" s="71">
        <f t="shared" ref="CG84" si="575">AW84</f>
        <v>444</v>
      </c>
      <c r="CH84" s="70">
        <f t="shared" ref="CH84" si="576">G84</f>
        <v>51</v>
      </c>
      <c r="CI84" s="71">
        <f t="shared" ref="CI84" si="577">K84</f>
        <v>55</v>
      </c>
      <c r="CJ84" s="72">
        <f t="shared" ref="CJ84" si="578">O84</f>
        <v>87</v>
      </c>
      <c r="CK84" s="72">
        <f t="shared" ref="CK84" si="579">S84</f>
        <v>91</v>
      </c>
      <c r="CL84" s="72">
        <f t="shared" ref="CL84" si="580">W84</f>
        <v>127</v>
      </c>
      <c r="CM84" s="72">
        <f t="shared" ref="CM84" si="581">AA84</f>
        <v>135</v>
      </c>
      <c r="CN84" s="72">
        <f t="shared" ref="CN84" si="582">AE84</f>
        <v>166</v>
      </c>
      <c r="CO84" s="72">
        <f t="shared" ref="CO84" si="583">AI84</f>
        <v>178</v>
      </c>
      <c r="CP84" s="72">
        <f t="shared" ref="CP84" si="584">AM84</f>
        <v>214</v>
      </c>
      <c r="CQ84" s="72">
        <f t="shared" ref="CQ84" si="585">AQ84</f>
        <v>413</v>
      </c>
      <c r="CR84" s="72">
        <f t="shared" ref="CR84" si="586">AU84</f>
        <v>443</v>
      </c>
      <c r="CS84" s="72">
        <f t="shared" ref="CS84" si="587">AY84</f>
        <v>456</v>
      </c>
      <c r="CT84" s="23">
        <f t="shared" ref="CT84" si="588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589">CONCATENATE(B85,"_",C85)</f>
        <v>acm2_human_5ZKB</v>
      </c>
      <c r="B85" s="3" t="s">
        <v>147</v>
      </c>
      <c r="C85" s="3" t="s">
        <v>1527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V</v>
      </c>
      <c r="AE85" s="3">
        <v>166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S</v>
      </c>
      <c r="AO85" s="3">
        <v>380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590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591">_xlfn.AGGREGATE(9,6,CH85:CS85)-_xlfn.AGGREGATE(9,6,BV85:CG85)+12</f>
        <v>257</v>
      </c>
      <c r="BD85" s="4" t="s">
        <v>23</v>
      </c>
      <c r="BE85" s="3" t="s">
        <v>1370</v>
      </c>
      <c r="BF85" s="118">
        <v>2.95</v>
      </c>
      <c r="BG85" s="49" t="s">
        <v>1</v>
      </c>
      <c r="BH85" s="49" t="s">
        <v>1</v>
      </c>
      <c r="BI85" s="1"/>
      <c r="BJ85" s="70" t="s">
        <v>1283</v>
      </c>
      <c r="BK85" s="57" t="s">
        <v>1283</v>
      </c>
      <c r="BL85" s="57" t="s">
        <v>1283</v>
      </c>
      <c r="BM85" s="57" t="s">
        <v>1283</v>
      </c>
      <c r="BN85" s="57" t="s">
        <v>1283</v>
      </c>
      <c r="BO85" s="57" t="s">
        <v>1283</v>
      </c>
      <c r="BP85" s="57" t="s">
        <v>1283</v>
      </c>
      <c r="BQ85" s="57" t="s">
        <v>1283</v>
      </c>
      <c r="BR85" s="57" t="s">
        <v>1283</v>
      </c>
      <c r="BS85" s="57" t="s">
        <v>1283</v>
      </c>
      <c r="BT85" s="57" t="s">
        <v>1283</v>
      </c>
      <c r="BU85" s="57" t="s">
        <v>1283</v>
      </c>
      <c r="BV85" s="70">
        <f t="shared" ref="BV85" si="592">E85</f>
        <v>18</v>
      </c>
      <c r="BW85" s="71">
        <f t="shared" ref="BW85" si="593">I85</f>
        <v>52</v>
      </c>
      <c r="BX85" s="72">
        <f t="shared" ref="BX85" si="594">M85</f>
        <v>56</v>
      </c>
      <c r="BY85" s="71">
        <f t="shared" ref="BY85" si="595">Q85</f>
        <v>88</v>
      </c>
      <c r="BZ85" s="72">
        <f t="shared" ref="BZ85" si="596">U85</f>
        <v>92</v>
      </c>
      <c r="CA85" s="71">
        <f t="shared" ref="CA85" si="597">Y85</f>
        <v>128</v>
      </c>
      <c r="CB85" s="72">
        <f t="shared" ref="CB85" si="598">AC85</f>
        <v>136</v>
      </c>
      <c r="CC85" s="71">
        <f t="shared" ref="CC85" si="599">AG85</f>
        <v>176</v>
      </c>
      <c r="CD85" s="72">
        <f t="shared" ref="CD85" si="600">AK85</f>
        <v>183</v>
      </c>
      <c r="CE85" s="71">
        <f t="shared" ref="CE85" si="601">AO85</f>
        <v>380</v>
      </c>
      <c r="CF85" s="72">
        <f t="shared" ref="CF85" si="602">AS85</f>
        <v>418</v>
      </c>
      <c r="CG85" s="71">
        <f t="shared" ref="CG85" si="603">AW85</f>
        <v>444</v>
      </c>
      <c r="CH85" s="70">
        <f t="shared" ref="CH85" si="604">G85</f>
        <v>51</v>
      </c>
      <c r="CI85" s="71">
        <f t="shared" ref="CI85" si="605">K85</f>
        <v>55</v>
      </c>
      <c r="CJ85" s="72">
        <f t="shared" ref="CJ85" si="606">O85</f>
        <v>87</v>
      </c>
      <c r="CK85" s="72">
        <f t="shared" ref="CK85" si="607">S85</f>
        <v>91</v>
      </c>
      <c r="CL85" s="72">
        <f t="shared" ref="CL85" si="608">W85</f>
        <v>127</v>
      </c>
      <c r="CM85" s="72">
        <f t="shared" ref="CM85" si="609">AA85</f>
        <v>135</v>
      </c>
      <c r="CN85" s="72">
        <f t="shared" ref="CN85" si="610">AE85</f>
        <v>166</v>
      </c>
      <c r="CO85" s="72">
        <f t="shared" ref="CO85" si="611">AI85</f>
        <v>178</v>
      </c>
      <c r="CP85" s="72">
        <f t="shared" ref="CP85" si="612">AM85</f>
        <v>214</v>
      </c>
      <c r="CQ85" s="72">
        <f t="shared" ref="CQ85" si="613">AQ85</f>
        <v>413</v>
      </c>
      <c r="CR85" s="72">
        <f t="shared" ref="CR85" si="614">AU85</f>
        <v>443</v>
      </c>
      <c r="CS85" s="72">
        <f t="shared" ref="CS85" si="615">AY85</f>
        <v>456</v>
      </c>
      <c r="CT85" s="23">
        <f t="shared" ref="CT85" si="616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17">CONCATENATE(B86,"_",C86)</f>
        <v>acm2_human_5ZK8</v>
      </c>
      <c r="B86" s="3" t="s">
        <v>147</v>
      </c>
      <c r="C86" s="3" t="s">
        <v>1528</v>
      </c>
      <c r="D86" s="3" t="str">
        <f>IFERROR(MID(VLOOKUP($B86,Seqs!$A:$B,2,0),E86,1),"")</f>
        <v>Y</v>
      </c>
      <c r="E86" s="3">
        <v>18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K</v>
      </c>
      <c r="AM86" s="3">
        <v>214</v>
      </c>
      <c r="AN86" s="3" t="str">
        <f>IFERROR(MID(VLOOKUP($B86,Seqs!$A:$B,2,0),AO86,1),"")</f>
        <v>K</v>
      </c>
      <c r="AO86" s="3">
        <v>383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105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18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19">_xlfn.AGGREGATE(9,6,CH86:CS86)-_xlfn.AGGREGATE(9,6,BV86:CG86)+12</f>
        <v>255</v>
      </c>
      <c r="BD86" s="4" t="s">
        <v>23</v>
      </c>
      <c r="BE86" s="3" t="s">
        <v>1370</v>
      </c>
      <c r="BF86" s="118">
        <v>3</v>
      </c>
      <c r="BG86" s="49" t="s">
        <v>1</v>
      </c>
      <c r="BH86" s="49" t="s">
        <v>1</v>
      </c>
      <c r="BI86" s="1"/>
      <c r="BJ86" s="70" t="s">
        <v>1283</v>
      </c>
      <c r="BK86" s="57" t="s">
        <v>1283</v>
      </c>
      <c r="BL86" s="57" t="s">
        <v>1283</v>
      </c>
      <c r="BM86" s="57" t="s">
        <v>1283</v>
      </c>
      <c r="BN86" s="57" t="s">
        <v>1283</v>
      </c>
      <c r="BO86" s="57" t="s">
        <v>1283</v>
      </c>
      <c r="BP86" s="57" t="s">
        <v>1283</v>
      </c>
      <c r="BQ86" s="57" t="s">
        <v>1283</v>
      </c>
      <c r="BR86" s="57" t="s">
        <v>1283</v>
      </c>
      <c r="BS86" s="57" t="s">
        <v>1283</v>
      </c>
      <c r="BT86" s="57" t="s">
        <v>1283</v>
      </c>
      <c r="BU86" s="57" t="s">
        <v>1283</v>
      </c>
      <c r="BV86" s="70">
        <f t="shared" ref="BV86" si="620">E86</f>
        <v>18</v>
      </c>
      <c r="BW86" s="71">
        <f t="shared" ref="BW86" si="621">I86</f>
        <v>52</v>
      </c>
      <c r="BX86" s="72">
        <f t="shared" ref="BX86" si="622">M86</f>
        <v>56</v>
      </c>
      <c r="BY86" s="71">
        <f t="shared" ref="BY86" si="623">Q86</f>
        <v>88</v>
      </c>
      <c r="BZ86" s="72">
        <f t="shared" ref="BZ86" si="624">U86</f>
        <v>92</v>
      </c>
      <c r="CA86" s="71">
        <f t="shared" ref="CA86" si="625">Y86</f>
        <v>128</v>
      </c>
      <c r="CB86" s="72">
        <f t="shared" ref="CB86" si="626">AC86</f>
        <v>136</v>
      </c>
      <c r="CC86" s="71">
        <f t="shared" ref="CC86" si="627">AG86</f>
        <v>176</v>
      </c>
      <c r="CD86" s="72">
        <f t="shared" ref="CD86" si="628">AK86</f>
        <v>183</v>
      </c>
      <c r="CE86" s="71">
        <f t="shared" ref="CE86" si="629">AO86</f>
        <v>383</v>
      </c>
      <c r="CF86" s="72">
        <f t="shared" ref="CF86" si="630">AS86</f>
        <v>418</v>
      </c>
      <c r="CG86" s="71">
        <f t="shared" ref="CG86" si="631">AW86</f>
        <v>444</v>
      </c>
      <c r="CH86" s="70">
        <f t="shared" ref="CH86" si="632">G86</f>
        <v>51</v>
      </c>
      <c r="CI86" s="71">
        <f t="shared" ref="CI86" si="633">K86</f>
        <v>55</v>
      </c>
      <c r="CJ86" s="72">
        <f t="shared" ref="CJ86" si="634">O86</f>
        <v>87</v>
      </c>
      <c r="CK86" s="72">
        <f t="shared" ref="CK86" si="635">S86</f>
        <v>91</v>
      </c>
      <c r="CL86" s="72">
        <f t="shared" ref="CL86" si="636">W86</f>
        <v>127</v>
      </c>
      <c r="CM86" s="72">
        <f t="shared" ref="CM86" si="637">AA86</f>
        <v>135</v>
      </c>
      <c r="CN86" s="72">
        <f t="shared" ref="CN86" si="638">AE86</f>
        <v>167</v>
      </c>
      <c r="CO86" s="72">
        <f t="shared" ref="CO86" si="639">AI86</f>
        <v>178</v>
      </c>
      <c r="CP86" s="72">
        <f t="shared" ref="CP86" si="640">AM86</f>
        <v>214</v>
      </c>
      <c r="CQ86" s="72">
        <f t="shared" ref="CQ86" si="641">AQ86</f>
        <v>413</v>
      </c>
      <c r="CR86" s="72">
        <f t="shared" ref="CR86" si="642">AU86</f>
        <v>443</v>
      </c>
      <c r="CS86" s="72">
        <f t="shared" ref="CS86" si="643">AY86</f>
        <v>456</v>
      </c>
      <c r="CT86" s="23">
        <f t="shared" ref="CT86" si="644">M86-K86</f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ref="A87" si="645">CONCATENATE(B87,"_",C87)</f>
        <v>acm2_human_5ZK3</v>
      </c>
      <c r="B87" s="3" t="s">
        <v>147</v>
      </c>
      <c r="C87" s="3" t="s">
        <v>1529</v>
      </c>
      <c r="D87" s="3" t="str">
        <f>IFERROR(MID(VLOOKUP($B87,Seqs!$A:$B,2,0),E87,1),"")</f>
        <v>Y</v>
      </c>
      <c r="E87" s="3">
        <v>18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3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E</v>
      </c>
      <c r="AO87" s="3">
        <v>382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105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ref="BB87" si="646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23">
        <f t="shared" ref="BC87" si="647">_xlfn.AGGREGATE(9,6,CH87:CS87)-_xlfn.AGGREGATE(9,6,BV87:CG87)+12</f>
        <v>256</v>
      </c>
      <c r="BD87" s="4" t="s">
        <v>23</v>
      </c>
      <c r="BE87" s="3" t="s">
        <v>1370</v>
      </c>
      <c r="BF87" s="118">
        <v>2.6</v>
      </c>
      <c r="BG87" s="49" t="s">
        <v>1</v>
      </c>
      <c r="BH87" s="49" t="s">
        <v>1</v>
      </c>
      <c r="BI87" s="1"/>
      <c r="BJ87" s="70" t="s">
        <v>1283</v>
      </c>
      <c r="BK87" s="57" t="s">
        <v>1283</v>
      </c>
      <c r="BL87" s="57" t="s">
        <v>1283</v>
      </c>
      <c r="BM87" s="57" t="s">
        <v>1283</v>
      </c>
      <c r="BN87" s="57" t="s">
        <v>1283</v>
      </c>
      <c r="BO87" s="57" t="s">
        <v>1283</v>
      </c>
      <c r="BP87" s="57" t="s">
        <v>1283</v>
      </c>
      <c r="BQ87" s="57" t="s">
        <v>1283</v>
      </c>
      <c r="BR87" s="57" t="s">
        <v>1283</v>
      </c>
      <c r="BS87" s="57" t="s">
        <v>1283</v>
      </c>
      <c r="BT87" s="57" t="s">
        <v>1283</v>
      </c>
      <c r="BU87" s="57" t="s">
        <v>1283</v>
      </c>
      <c r="BV87" s="70">
        <f t="shared" ref="BV87" si="648">E87</f>
        <v>18</v>
      </c>
      <c r="BW87" s="71">
        <f t="shared" ref="BW87" si="649">I87</f>
        <v>52</v>
      </c>
      <c r="BX87" s="72">
        <f t="shared" ref="BX87" si="650">M87</f>
        <v>56</v>
      </c>
      <c r="BY87" s="71">
        <f t="shared" ref="BY87" si="651">Q87</f>
        <v>88</v>
      </c>
      <c r="BZ87" s="72">
        <f t="shared" ref="BZ87" si="652">U87</f>
        <v>92</v>
      </c>
      <c r="CA87" s="71">
        <f t="shared" ref="CA87" si="653">Y87</f>
        <v>128</v>
      </c>
      <c r="CB87" s="72">
        <f t="shared" ref="CB87" si="654">AC87</f>
        <v>136</v>
      </c>
      <c r="CC87" s="71">
        <f t="shared" ref="CC87" si="655">AG87</f>
        <v>176</v>
      </c>
      <c r="CD87" s="72">
        <f t="shared" ref="CD87" si="656">AK87</f>
        <v>183</v>
      </c>
      <c r="CE87" s="71">
        <f t="shared" ref="CE87" si="657">AO87</f>
        <v>382</v>
      </c>
      <c r="CF87" s="72">
        <f t="shared" ref="CF87" si="658">AS87</f>
        <v>418</v>
      </c>
      <c r="CG87" s="71">
        <f t="shared" ref="CG87" si="659">AW87</f>
        <v>444</v>
      </c>
      <c r="CH87" s="70">
        <f t="shared" ref="CH87" si="660">G87</f>
        <v>51</v>
      </c>
      <c r="CI87" s="71">
        <f t="shared" ref="CI87" si="661">K87</f>
        <v>55</v>
      </c>
      <c r="CJ87" s="72">
        <f t="shared" ref="CJ87" si="662">O87</f>
        <v>87</v>
      </c>
      <c r="CK87" s="72">
        <f t="shared" ref="CK87" si="663">S87</f>
        <v>91</v>
      </c>
      <c r="CL87" s="72">
        <f t="shared" ref="CL87" si="664">W87</f>
        <v>127</v>
      </c>
      <c r="CM87" s="72">
        <f t="shared" ref="CM87" si="665">AA87</f>
        <v>135</v>
      </c>
      <c r="CN87" s="72">
        <f t="shared" ref="CN87" si="666">AE87</f>
        <v>167</v>
      </c>
      <c r="CO87" s="72">
        <f t="shared" ref="CO87" si="667">AI87</f>
        <v>178</v>
      </c>
      <c r="CP87" s="72">
        <f t="shared" ref="CP87" si="668">AM87</f>
        <v>214</v>
      </c>
      <c r="CQ87" s="72">
        <f t="shared" ref="CQ87" si="669">AQ87</f>
        <v>413</v>
      </c>
      <c r="CR87" s="72">
        <f t="shared" ref="CR87" si="670">AU87</f>
        <v>443</v>
      </c>
      <c r="CS87" s="72">
        <f t="shared" ref="CS87" si="671">AY87</f>
        <v>456</v>
      </c>
      <c r="CT87" s="23">
        <f t="shared" ref="CT87" si="672">M87-K87</f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ref="A88" si="673">CONCATENATE(B88,"_",C88)</f>
        <v>acm2_human_5YC8</v>
      </c>
      <c r="B88" s="3" t="s">
        <v>147</v>
      </c>
      <c r="C88" s="3" t="s">
        <v>1530</v>
      </c>
      <c r="D88" s="3" t="str">
        <f>IFERROR(MID(VLOOKUP($B88,Seqs!$A:$B,2,0),E88,1),"")</f>
        <v>Y</v>
      </c>
      <c r="E88" s="3">
        <v>18</v>
      </c>
      <c r="F88" s="3" t="str">
        <f>IFERROR(MID(VLOOKUP($B88,Seqs!$A:$B,2,0),G88,1),"")</f>
        <v>N</v>
      </c>
      <c r="G88" s="3">
        <v>51</v>
      </c>
      <c r="H88" s="3" t="str">
        <f>IFERROR(MID(VLOOKUP($B88,Seqs!$A:$B,2,0),I88,1),"")</f>
        <v>R</v>
      </c>
      <c r="I88" s="23">
        <v>52</v>
      </c>
      <c r="J88" s="3" t="str">
        <f>IFERROR(MID(VLOOKUP($B88,Seqs!$A:$B,2,0),K88,1),"")</f>
        <v>Q</v>
      </c>
      <c r="K88" s="23">
        <v>55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3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N</v>
      </c>
      <c r="AK88" s="3">
        <v>183</v>
      </c>
      <c r="AL88" s="3" t="str">
        <f>IFERROR(MID(VLOOKUP($B88,Seqs!$A:$B,2,0),AM88,1),"")</f>
        <v>K</v>
      </c>
      <c r="AM88" s="3">
        <v>214</v>
      </c>
      <c r="AN88" s="3" t="str">
        <f>IFERROR(MID(VLOOKUP($B88,Seqs!$A:$B,2,0),AO88,1),"")</f>
        <v>R</v>
      </c>
      <c r="AO88" s="3">
        <v>381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P</v>
      </c>
      <c r="AS88" s="3">
        <v>418</v>
      </c>
      <c r="AT88" s="3" t="str">
        <f>IFERROR(MID(VLOOKUP($B88,Seqs!$A:$B,2,0),AU88,1),"")</f>
        <v>C</v>
      </c>
      <c r="AU88" s="105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M</v>
      </c>
      <c r="AY88" s="3">
        <v>456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ref="BB88" si="674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23">
        <f t="shared" ref="BC88" si="675">_xlfn.AGGREGATE(9,6,CH88:CS88)-_xlfn.AGGREGATE(9,6,BV88:CG88)+12</f>
        <v>257</v>
      </c>
      <c r="BD88" s="4" t="s">
        <v>23</v>
      </c>
      <c r="BE88" s="3" t="s">
        <v>1370</v>
      </c>
      <c r="BF88" s="118">
        <v>2.5</v>
      </c>
      <c r="BG88" s="49" t="s">
        <v>1</v>
      </c>
      <c r="BH88" s="49" t="s">
        <v>1</v>
      </c>
      <c r="BI88" s="1"/>
      <c r="BJ88" s="70" t="s">
        <v>1283</v>
      </c>
      <c r="BK88" s="57" t="s">
        <v>1283</v>
      </c>
      <c r="BL88" s="57" t="s">
        <v>1283</v>
      </c>
      <c r="BM88" s="57" t="s">
        <v>1283</v>
      </c>
      <c r="BN88" s="57" t="s">
        <v>1283</v>
      </c>
      <c r="BO88" s="57" t="s">
        <v>1283</v>
      </c>
      <c r="BP88" s="57" t="s">
        <v>1283</v>
      </c>
      <c r="BQ88" s="57" t="s">
        <v>1283</v>
      </c>
      <c r="BR88" s="57" t="s">
        <v>1283</v>
      </c>
      <c r="BS88" s="57" t="s">
        <v>1283</v>
      </c>
      <c r="BT88" s="57" t="s">
        <v>1283</v>
      </c>
      <c r="BU88" s="57" t="s">
        <v>1283</v>
      </c>
      <c r="BV88" s="70">
        <f t="shared" ref="BV88" si="676">E88</f>
        <v>18</v>
      </c>
      <c r="BW88" s="71">
        <f t="shared" ref="BW88" si="677">I88</f>
        <v>52</v>
      </c>
      <c r="BX88" s="72">
        <f t="shared" ref="BX88" si="678">M88</f>
        <v>56</v>
      </c>
      <c r="BY88" s="71">
        <f t="shared" ref="BY88" si="679">Q88</f>
        <v>88</v>
      </c>
      <c r="BZ88" s="72">
        <f t="shared" ref="BZ88" si="680">U88</f>
        <v>92</v>
      </c>
      <c r="CA88" s="71">
        <f t="shared" ref="CA88" si="681">Y88</f>
        <v>128</v>
      </c>
      <c r="CB88" s="72">
        <f t="shared" ref="CB88" si="682">AC88</f>
        <v>136</v>
      </c>
      <c r="CC88" s="71">
        <f t="shared" ref="CC88" si="683">AG88</f>
        <v>176</v>
      </c>
      <c r="CD88" s="72">
        <f t="shared" ref="CD88" si="684">AK88</f>
        <v>183</v>
      </c>
      <c r="CE88" s="71">
        <f t="shared" ref="CE88" si="685">AO88</f>
        <v>381</v>
      </c>
      <c r="CF88" s="72">
        <f t="shared" ref="CF88" si="686">AS88</f>
        <v>418</v>
      </c>
      <c r="CG88" s="71">
        <f t="shared" ref="CG88" si="687">AW88</f>
        <v>444</v>
      </c>
      <c r="CH88" s="70">
        <f t="shared" ref="CH88" si="688">G88</f>
        <v>51</v>
      </c>
      <c r="CI88" s="71">
        <f t="shared" ref="CI88" si="689">K88</f>
        <v>55</v>
      </c>
      <c r="CJ88" s="72">
        <f t="shared" ref="CJ88" si="690">O88</f>
        <v>87</v>
      </c>
      <c r="CK88" s="72">
        <f t="shared" ref="CK88" si="691">S88</f>
        <v>91</v>
      </c>
      <c r="CL88" s="72">
        <f t="shared" ref="CL88" si="692">W88</f>
        <v>127</v>
      </c>
      <c r="CM88" s="72">
        <f t="shared" ref="CM88" si="693">AA88</f>
        <v>135</v>
      </c>
      <c r="CN88" s="72">
        <f t="shared" ref="CN88" si="694">AE88</f>
        <v>167</v>
      </c>
      <c r="CO88" s="72">
        <f t="shared" ref="CO88" si="695">AI88</f>
        <v>178</v>
      </c>
      <c r="CP88" s="72">
        <f t="shared" ref="CP88" si="696">AM88</f>
        <v>214</v>
      </c>
      <c r="CQ88" s="72">
        <f t="shared" ref="CQ88" si="697">AQ88</f>
        <v>413</v>
      </c>
      <c r="CR88" s="72">
        <f t="shared" ref="CR88" si="698">AU88</f>
        <v>443</v>
      </c>
      <c r="CS88" s="72">
        <f t="shared" ref="CS88" si="699">AY88</f>
        <v>456</v>
      </c>
      <c r="CT88" s="23">
        <f t="shared" ref="CT88" si="700">M88-K88</f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01">CONCATENATE(B89,"_",C89)</f>
        <v>acm2_human_6OIK</v>
      </c>
      <c r="B89" s="3" t="s">
        <v>147</v>
      </c>
      <c r="C89" s="3" t="s">
        <v>1574</v>
      </c>
      <c r="D89" s="3" t="str">
        <f>IFERROR(MID(VLOOKUP($B89,Seqs!$A:$B,2,0),E89,1),"")</f>
        <v>T</v>
      </c>
      <c r="E89" s="3">
        <v>20</v>
      </c>
      <c r="F89" s="3" t="str">
        <f>IFERROR(MID(VLOOKUP($B89,Seqs!$A:$B,2,0),G89,1),"")</f>
        <v>V</v>
      </c>
      <c r="G89" s="3">
        <v>50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T</v>
      </c>
      <c r="M89" s="3">
        <v>56</v>
      </c>
      <c r="N89" s="3" t="str">
        <f>IFERROR(MID(VLOOKUP($B89,Seqs!$A:$B,2,0),O89,1),"")</f>
        <v>G</v>
      </c>
      <c r="O89" s="3">
        <v>87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G</v>
      </c>
      <c r="AE89" s="3">
        <v>167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A</v>
      </c>
      <c r="AK89" s="3">
        <v>184</v>
      </c>
      <c r="AL89" s="3" t="str">
        <f>IFERROR(MID(VLOOKUP($B89,Seqs!$A:$B,2,0),AM89,1),"")</f>
        <v>S</v>
      </c>
      <c r="AM89" s="3">
        <v>213</v>
      </c>
      <c r="AN89" s="3" t="str">
        <f>IFERROR(MID(VLOOKUP($B89,Seqs!$A:$B,2,0),AO89,1),"")</f>
        <v>E</v>
      </c>
      <c r="AO89" s="3">
        <v>382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N</v>
      </c>
      <c r="AS89" s="3">
        <v>419</v>
      </c>
      <c r="AT89" s="3" t="str">
        <f>IFERROR(MID(VLOOKUP($B89,Seqs!$A:$B,2,0),AU89,1),"")</f>
        <v>C</v>
      </c>
      <c r="AU89" s="3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L</v>
      </c>
      <c r="AY89" s="3">
        <v>454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02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03">_xlfn.AGGREGATE(9,6,CH89:CS89)-_xlfn.AGGREGATE(9,6,BV89:CG89)+12</f>
        <v>245</v>
      </c>
      <c r="BD89" s="4" t="s">
        <v>23</v>
      </c>
      <c r="BE89" s="3" t="s">
        <v>1287</v>
      </c>
      <c r="BF89" s="118">
        <v>3.6</v>
      </c>
      <c r="BG89" s="49" t="s">
        <v>1418</v>
      </c>
      <c r="BH89" s="49" t="s">
        <v>1418</v>
      </c>
      <c r="BI89" s="1"/>
      <c r="BJ89" s="70" t="s">
        <v>1283</v>
      </c>
      <c r="BK89" s="57" t="s">
        <v>1283</v>
      </c>
      <c r="BL89" s="57" t="s">
        <v>1283</v>
      </c>
      <c r="BM89" s="57" t="s">
        <v>1283</v>
      </c>
      <c r="BN89" s="57" t="s">
        <v>1283</v>
      </c>
      <c r="BO89" s="57" t="s">
        <v>1283</v>
      </c>
      <c r="BP89" s="57" t="s">
        <v>1283</v>
      </c>
      <c r="BQ89" s="57" t="s">
        <v>1283</v>
      </c>
      <c r="BR89" s="57" t="s">
        <v>1283</v>
      </c>
      <c r="BS89" s="57" t="s">
        <v>1283</v>
      </c>
      <c r="BT89" s="57" t="s">
        <v>1283</v>
      </c>
      <c r="BU89" s="57" t="s">
        <v>1283</v>
      </c>
      <c r="BV89" s="70">
        <f t="shared" ref="BV89" si="704">E89</f>
        <v>20</v>
      </c>
      <c r="BW89" s="71" t="str">
        <f t="shared" ref="BW89" si="705">I89</f>
        <v>-</v>
      </c>
      <c r="BX89" s="72">
        <f t="shared" ref="BX89" si="706">M89</f>
        <v>56</v>
      </c>
      <c r="BY89" s="71">
        <f t="shared" ref="BY89" si="707">Q89</f>
        <v>88</v>
      </c>
      <c r="BZ89" s="72">
        <f t="shared" ref="BZ89" si="708">U89</f>
        <v>92</v>
      </c>
      <c r="CA89" s="71">
        <f t="shared" ref="CA89" si="709">Y89</f>
        <v>128</v>
      </c>
      <c r="CB89" s="72">
        <f t="shared" ref="CB89" si="710">AC89</f>
        <v>136</v>
      </c>
      <c r="CC89" s="71">
        <f t="shared" ref="CC89" si="711">AG89</f>
        <v>176</v>
      </c>
      <c r="CD89" s="72">
        <f t="shared" ref="CD89" si="712">AK89</f>
        <v>184</v>
      </c>
      <c r="CE89" s="71">
        <f t="shared" ref="CE89" si="713">AO89</f>
        <v>382</v>
      </c>
      <c r="CF89" s="72">
        <f t="shared" ref="CF89" si="714">AS89</f>
        <v>419</v>
      </c>
      <c r="CG89" s="71">
        <f t="shared" ref="CG89" si="715">AW89</f>
        <v>444</v>
      </c>
      <c r="CH89" s="70">
        <f t="shared" ref="CH89" si="716">G89</f>
        <v>50</v>
      </c>
      <c r="CI89" s="71" t="str">
        <f t="shared" ref="CI89" si="717">K89</f>
        <v>-</v>
      </c>
      <c r="CJ89" s="72">
        <f t="shared" ref="CJ89" si="718">O89</f>
        <v>87</v>
      </c>
      <c r="CK89" s="72">
        <f t="shared" ref="CK89" si="719">S89</f>
        <v>91</v>
      </c>
      <c r="CL89" s="72">
        <f t="shared" ref="CL89" si="720">W89</f>
        <v>127</v>
      </c>
      <c r="CM89" s="72">
        <f t="shared" ref="CM89" si="721">AA89</f>
        <v>135</v>
      </c>
      <c r="CN89" s="72">
        <f t="shared" ref="CN89" si="722">AE89</f>
        <v>167</v>
      </c>
      <c r="CO89" s="72">
        <f t="shared" ref="CO89" si="723">AI89</f>
        <v>178</v>
      </c>
      <c r="CP89" s="72">
        <f t="shared" ref="CP89" si="724">AM89</f>
        <v>213</v>
      </c>
      <c r="CQ89" s="72">
        <f t="shared" ref="CQ89" si="725">AQ89</f>
        <v>413</v>
      </c>
      <c r="CR89" s="72">
        <f t="shared" ref="CR89" si="726">AU89</f>
        <v>443</v>
      </c>
      <c r="CS89" s="72">
        <f t="shared" ref="CS89" si="727">AY89</f>
        <v>454</v>
      </c>
      <c r="CT89" s="23" t="e">
        <f t="shared" ref="CT89" si="728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" si="729">CONCATENATE(B90,"_",C90)</f>
        <v>acm2_human_6U1N</v>
      </c>
      <c r="B90" s="3" t="s">
        <v>147</v>
      </c>
      <c r="C90" s="3" t="s">
        <v>1651</v>
      </c>
      <c r="D90" s="3" t="str">
        <f>IFERROR(MID(VLOOKUP($B90,Seqs!$A:$B,2,0),E90,1),"")</f>
        <v>T</v>
      </c>
      <c r="E90" s="3">
        <v>20</v>
      </c>
      <c r="F90" s="3" t="str">
        <f>IFERROR(MID(VLOOKUP($B90,Seqs!$A:$B,2,0),G90,1),"")</f>
        <v>K</v>
      </c>
      <c r="G90" s="3">
        <v>49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V</v>
      </c>
      <c r="M90" s="3">
        <v>57</v>
      </c>
      <c r="N90" s="3" t="str">
        <f>IFERROR(MID(VLOOKUP($B90,Seqs!$A:$B,2,0),O90,1),"")</f>
        <v>I</v>
      </c>
      <c r="O90" s="3">
        <v>86</v>
      </c>
      <c r="P90" s="3" t="str">
        <f>IFERROR(MID(VLOOKUP($B90,Seqs!$A:$B,2,0),Q90,1),"")</f>
        <v>Y</v>
      </c>
      <c r="Q90" s="3">
        <v>88</v>
      </c>
      <c r="R90" s="3" t="str">
        <f>IFERROR(MID(VLOOKUP($B90,Seqs!$A:$B,2,0),S90,1),"")</f>
        <v>L</v>
      </c>
      <c r="S90" s="3">
        <v>91</v>
      </c>
      <c r="T90" s="3" t="str">
        <f>IFERROR(MID(VLOOKUP($B90,Seqs!$A:$B,2,0),U90,1),"")</f>
        <v>G</v>
      </c>
      <c r="U90" s="3">
        <v>92</v>
      </c>
      <c r="V90" s="3" t="str">
        <f>IFERROR(MID(VLOOKUP($B90,Seqs!$A:$B,2,0),W90,1),"")</f>
        <v>K</v>
      </c>
      <c r="W90" s="3">
        <v>127</v>
      </c>
      <c r="X90" s="3" t="str">
        <f>IFERROR(MID(VLOOKUP($B90,Seqs!$A:$B,2,0),Y90,1),"")</f>
        <v>P</v>
      </c>
      <c r="Y90" s="3">
        <v>128</v>
      </c>
      <c r="Z90" s="3" t="str">
        <f>IFERROR(MID(VLOOKUP($B90,Seqs!$A:$B,2,0),AA90,1),"")</f>
        <v>R</v>
      </c>
      <c r="AA90" s="3">
        <v>135</v>
      </c>
      <c r="AB90" s="3" t="str">
        <f>IFERROR(MID(VLOOKUP($B90,Seqs!$A:$B,2,0),AC90,1),"")</f>
        <v>T</v>
      </c>
      <c r="AC90" s="3">
        <v>136</v>
      </c>
      <c r="AD90" s="3" t="str">
        <f>IFERROR(MID(VLOOKUP($B90,Seqs!$A:$B,2,0),AE90,1),"")</f>
        <v>G</v>
      </c>
      <c r="AE90" s="3">
        <v>167</v>
      </c>
      <c r="AF90" s="3" t="str">
        <f>IFERROR(MID(VLOOKUP($B90,Seqs!$A:$B,2,0),AG90,1),"")</f>
        <v>C</v>
      </c>
      <c r="AG90" s="3">
        <v>176</v>
      </c>
      <c r="AH90" s="3" t="str">
        <f>IFERROR(MID(VLOOKUP($B90,Seqs!$A:$B,2,0),AI90,1),"")</f>
        <v>I</v>
      </c>
      <c r="AI90" s="3">
        <v>178</v>
      </c>
      <c r="AJ90" s="3" t="str">
        <f>IFERROR(MID(VLOOKUP($B90,Seqs!$A:$B,2,0),AK90,1),"")</f>
        <v>N</v>
      </c>
      <c r="AK90" s="3">
        <v>183</v>
      </c>
      <c r="AL90" s="3" t="str">
        <f>IFERROR(MID(VLOOKUP($B90,Seqs!$A:$B,2,0),AM90,1),"")</f>
        <v>S</v>
      </c>
      <c r="AM90" s="3">
        <v>213</v>
      </c>
      <c r="AN90" s="3" t="str">
        <f>IFERROR(MID(VLOOKUP($B90,Seqs!$A:$B,2,0),AO90,1),"")</f>
        <v>E</v>
      </c>
      <c r="AO90" s="3">
        <v>382</v>
      </c>
      <c r="AP90" s="3" t="str">
        <f>IFERROR(MID(VLOOKUP($B90,Seqs!$A:$B,2,0),AQ90,1),"")</f>
        <v>C</v>
      </c>
      <c r="AQ90" s="3">
        <v>413</v>
      </c>
      <c r="AR90" s="3" t="str">
        <f>IFERROR(MID(VLOOKUP($B90,Seqs!$A:$B,2,0),AS90,1),"")</f>
        <v>V</v>
      </c>
      <c r="AS90" s="3">
        <v>421</v>
      </c>
      <c r="AT90" s="3" t="str">
        <f>IFERROR(MID(VLOOKUP($B90,Seqs!$A:$B,2,0),AU90,1),"")</f>
        <v>C</v>
      </c>
      <c r="AU90" s="3">
        <v>443</v>
      </c>
      <c r="AV90" s="3" t="str">
        <f>IFERROR(MID(VLOOKUP($B90,Seqs!$A:$B,2,0),AW90,1),"")</f>
        <v>N</v>
      </c>
      <c r="AW90" s="3">
        <v>444</v>
      </c>
      <c r="AX90" s="3" t="str">
        <f>IFERROR(MID(VLOOKUP($B90,Seqs!$A:$B,2,0),AY90,1),"")</f>
        <v>K</v>
      </c>
      <c r="AY90" s="3">
        <v>452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ref="BB90" si="730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731">_xlfn.AGGREGATE(9,6,CH90:CS90)-_xlfn.AGGREGATE(9,6,BV90:CG90)+12</f>
        <v>239</v>
      </c>
      <c r="BD90" s="4" t="s">
        <v>1425</v>
      </c>
      <c r="BE90" s="3" t="s">
        <v>1424</v>
      </c>
      <c r="BF90" s="118">
        <v>4</v>
      </c>
      <c r="BG90" s="49" t="s">
        <v>1418</v>
      </c>
      <c r="BH90" s="49" t="s">
        <v>1418</v>
      </c>
      <c r="BI90" s="1"/>
      <c r="BJ90" s="70" t="s">
        <v>1283</v>
      </c>
      <c r="BK90" s="57" t="s">
        <v>1283</v>
      </c>
      <c r="BL90" s="57" t="s">
        <v>1283</v>
      </c>
      <c r="BM90" s="57" t="s">
        <v>1283</v>
      </c>
      <c r="BN90" s="57" t="s">
        <v>1283</v>
      </c>
      <c r="BO90" s="57" t="s">
        <v>1283</v>
      </c>
      <c r="BP90" s="57" t="s">
        <v>1283</v>
      </c>
      <c r="BQ90" s="57" t="s">
        <v>1283</v>
      </c>
      <c r="BR90" s="57" t="s">
        <v>1283</v>
      </c>
      <c r="BS90" s="57" t="s">
        <v>1283</v>
      </c>
      <c r="BT90" s="57" t="s">
        <v>1283</v>
      </c>
      <c r="BU90" s="57" t="s">
        <v>1283</v>
      </c>
      <c r="BV90" s="70">
        <f t="shared" ref="BV90" si="732">E90</f>
        <v>20</v>
      </c>
      <c r="BW90" s="71" t="str">
        <f t="shared" ref="BW90" si="733">I90</f>
        <v>-</v>
      </c>
      <c r="BX90" s="72">
        <f t="shared" ref="BX90" si="734">M90</f>
        <v>57</v>
      </c>
      <c r="BY90" s="71">
        <f t="shared" ref="BY90" si="735">Q90</f>
        <v>88</v>
      </c>
      <c r="BZ90" s="72">
        <f t="shared" ref="BZ90" si="736">U90</f>
        <v>92</v>
      </c>
      <c r="CA90" s="71">
        <f t="shared" ref="CA90" si="737">Y90</f>
        <v>128</v>
      </c>
      <c r="CB90" s="72">
        <f t="shared" ref="CB90" si="738">AC90</f>
        <v>136</v>
      </c>
      <c r="CC90" s="71">
        <f t="shared" ref="CC90" si="739">AG90</f>
        <v>176</v>
      </c>
      <c r="CD90" s="72">
        <f t="shared" ref="CD90" si="740">AK90</f>
        <v>183</v>
      </c>
      <c r="CE90" s="71">
        <f t="shared" ref="CE90" si="741">AO90</f>
        <v>382</v>
      </c>
      <c r="CF90" s="72">
        <f t="shared" ref="CF90" si="742">AS90</f>
        <v>421</v>
      </c>
      <c r="CG90" s="71">
        <f t="shared" ref="CG90" si="743">AW90</f>
        <v>444</v>
      </c>
      <c r="CH90" s="70">
        <f t="shared" ref="CH90" si="744">G90</f>
        <v>49</v>
      </c>
      <c r="CI90" s="71" t="str">
        <f t="shared" ref="CI90" si="745">K90</f>
        <v>-</v>
      </c>
      <c r="CJ90" s="72">
        <f t="shared" ref="CJ90" si="746">O90</f>
        <v>86</v>
      </c>
      <c r="CK90" s="72">
        <f t="shared" ref="CK90" si="747">S90</f>
        <v>91</v>
      </c>
      <c r="CL90" s="72">
        <f t="shared" ref="CL90" si="748">W90</f>
        <v>127</v>
      </c>
      <c r="CM90" s="72">
        <f t="shared" ref="CM90" si="749">AA90</f>
        <v>135</v>
      </c>
      <c r="CN90" s="72">
        <f t="shared" ref="CN90" si="750">AE90</f>
        <v>167</v>
      </c>
      <c r="CO90" s="72">
        <f t="shared" ref="CO90" si="751">AI90</f>
        <v>178</v>
      </c>
      <c r="CP90" s="72">
        <f t="shared" ref="CP90" si="752">AM90</f>
        <v>213</v>
      </c>
      <c r="CQ90" s="72">
        <f t="shared" ref="CQ90" si="753">AQ90</f>
        <v>413</v>
      </c>
      <c r="CR90" s="72">
        <f t="shared" ref="CR90" si="754">AU90</f>
        <v>443</v>
      </c>
      <c r="CS90" s="72">
        <f t="shared" ref="CS90" si="755">AY90</f>
        <v>452</v>
      </c>
      <c r="CT90" s="23" t="e">
        <f t="shared" ref="CT90" si="756">M90-K90</f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559"/>
        <v>acm3_rat__wt</v>
      </c>
      <c r="B91" s="3" t="s">
        <v>905</v>
      </c>
      <c r="C91" s="3" t="s">
        <v>100</v>
      </c>
      <c r="D91" s="3" t="str">
        <f>IFERROR(MID(VLOOKUP($B91,Seqs!$A:$B,2,0),E91,1),"")</f>
        <v>T</v>
      </c>
      <c r="E91" s="105">
        <v>63</v>
      </c>
      <c r="F91" s="3" t="str">
        <f>IFERROR(MID(VLOOKUP($B91,Seqs!$A:$B,2,0),G91,1),"")</f>
        <v>N</v>
      </c>
      <c r="G91" s="3">
        <v>95</v>
      </c>
      <c r="H91" s="3" t="str">
        <f>IFERROR(MID(VLOOKUP($B91,Seqs!$A:$B,2,0),I91,1),"")</f>
        <v>K</v>
      </c>
      <c r="I91" s="23">
        <v>96</v>
      </c>
      <c r="J91" s="3" t="str">
        <f>IFERROR(MID(VLOOKUP($B91,Seqs!$A:$B,2,0),K91,1),"")</f>
        <v>K</v>
      </c>
      <c r="K91" s="23">
        <v>99</v>
      </c>
      <c r="L91" s="3" t="str">
        <f>IFERROR(MID(VLOOKUP($B91,Seqs!$A:$B,2,0),M91,1),"")</f>
        <v>T</v>
      </c>
      <c r="M91" s="3">
        <v>100</v>
      </c>
      <c r="N91" s="3" t="str">
        <f>IFERROR(MID(VLOOKUP($B91,Seqs!$A:$B,2,0),O91,1),"")</f>
        <v>M</v>
      </c>
      <c r="O91" s="3">
        <v>130</v>
      </c>
      <c r="P91" s="3" t="str">
        <f>IFERROR(MID(VLOOKUP($B91,Seqs!$A:$B,2,0),Q91,1),"")</f>
        <v>R</v>
      </c>
      <c r="Q91" s="3">
        <v>132</v>
      </c>
      <c r="R91" s="3" t="str">
        <f>IFERROR(MID(VLOOKUP($B91,Seqs!$A:$B,2,0),S91,1),"")</f>
        <v>L</v>
      </c>
      <c r="S91" s="3">
        <v>135</v>
      </c>
      <c r="T91" s="3" t="str">
        <f>IFERROR(MID(VLOOKUP($B91,Seqs!$A:$B,2,0),U91,1),"")</f>
        <v>G</v>
      </c>
      <c r="U91" s="3">
        <v>136</v>
      </c>
      <c r="V91" s="3" t="str">
        <f>IFERROR(MID(VLOOKUP($B91,Seqs!$A:$B,2,0),W91,1),"")</f>
        <v>R</v>
      </c>
      <c r="W91" s="3">
        <v>171</v>
      </c>
      <c r="X91" s="3" t="str">
        <f>IFERROR(MID(VLOOKUP($B91,Seqs!$A:$B,2,0),Y91,1),"")</f>
        <v>P</v>
      </c>
      <c r="Y91" s="3">
        <v>172</v>
      </c>
      <c r="Z91" s="3" t="str">
        <f>IFERROR(MID(VLOOKUP($B91,Seqs!$A:$B,2,0),AA91,1),"")</f>
        <v>R</v>
      </c>
      <c r="AA91" s="3">
        <v>179</v>
      </c>
      <c r="AB91" s="3" t="str">
        <f>IFERROR(MID(VLOOKUP($B91,Seqs!$A:$B,2,0),AC91,1),"")</f>
        <v>T</v>
      </c>
      <c r="AC91" s="3">
        <v>180</v>
      </c>
      <c r="AD91" s="3" t="str">
        <f>IFERROR(MID(VLOOKUP($B91,Seqs!$A:$B,2,0),AE91,1),"")</f>
        <v>G</v>
      </c>
      <c r="AE91" s="3">
        <v>211</v>
      </c>
      <c r="AF91" s="3" t="str">
        <f>IFERROR(MID(VLOOKUP($B91,Seqs!$A:$B,2,0),AG91,1),"")</f>
        <v>C</v>
      </c>
      <c r="AG91" s="3">
        <v>220</v>
      </c>
      <c r="AH91" s="3" t="str">
        <f>IFERROR(MID(VLOOKUP($B91,Seqs!$A:$B,2,0),AI91,1),"")</f>
        <v>I</v>
      </c>
      <c r="AI91" s="3">
        <v>222</v>
      </c>
      <c r="AJ91" s="3" t="str">
        <f>IFERROR(MID(VLOOKUP($B91,Seqs!$A:$B,2,0),AK91,1),"")</f>
        <v>E</v>
      </c>
      <c r="AK91" s="3">
        <v>227</v>
      </c>
      <c r="AL91" s="3" t="str">
        <f>IFERROR(MID(VLOOKUP($B91,Seqs!$A:$B,2,0),AM91,1),"")</f>
        <v>L</v>
      </c>
      <c r="AM91" s="3">
        <v>267</v>
      </c>
      <c r="AN91" s="3" t="str">
        <f>IFERROR(MID(VLOOKUP($B91,Seqs!$A:$B,2,0),AO91,1),"")</f>
        <v>R</v>
      </c>
      <c r="AO91" s="3">
        <v>479</v>
      </c>
      <c r="AP91" s="3" t="str">
        <f>IFERROR(MID(VLOOKUP($B91,Seqs!$A:$B,2,0),AQ91,1),"")</f>
        <v>C</v>
      </c>
      <c r="AQ91" s="3">
        <v>516</v>
      </c>
      <c r="AR91" s="3" t="str">
        <f>IFERROR(MID(VLOOKUP($B91,Seqs!$A:$B,2,0),AS91,1),"")</f>
        <v>P</v>
      </c>
      <c r="AS91" s="3">
        <v>521</v>
      </c>
      <c r="AT91" s="3" t="str">
        <f>IFERROR(MID(VLOOKUP($B91,Seqs!$A:$B,2,0),AU91,1),"")</f>
        <v>C</v>
      </c>
      <c r="AU91" s="3">
        <v>546</v>
      </c>
      <c r="AV91" s="3" t="str">
        <f>IFERROR(MID(VLOOKUP($B91,Seqs!$A:$B,2,0),AW91,1),"")</f>
        <v>N</v>
      </c>
      <c r="AW91" s="3">
        <v>547</v>
      </c>
      <c r="AX91" s="3" t="str">
        <f>IFERROR(MID(VLOOKUP($B91,Seqs!$A:$B,2,0),AY91,1),"")</f>
        <v>C</v>
      </c>
      <c r="AY91" s="3">
        <v>560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60"/>
        <v>1</v>
      </c>
      <c r="BC91" s="23">
        <f t="shared" si="225"/>
        <v>270</v>
      </c>
      <c r="BD91" s="56" t="s">
        <v>23</v>
      </c>
      <c r="BE91" s="3" t="s">
        <v>23</v>
      </c>
      <c r="BF91" s="118" t="s">
        <v>23</v>
      </c>
      <c r="BG91" s="49" t="s">
        <v>1368</v>
      </c>
      <c r="BH91" s="49" t="s">
        <v>1373</v>
      </c>
      <c r="BI91" s="1"/>
      <c r="BJ91" s="70" t="s">
        <v>1283</v>
      </c>
      <c r="BK91" s="57" t="s">
        <v>1283</v>
      </c>
      <c r="BL91" s="57" t="s">
        <v>1283</v>
      </c>
      <c r="BM91" s="57" t="s">
        <v>1283</v>
      </c>
      <c r="BN91" s="57" t="s">
        <v>1283</v>
      </c>
      <c r="BO91" s="57" t="s">
        <v>1283</v>
      </c>
      <c r="BP91" s="57" t="s">
        <v>1283</v>
      </c>
      <c r="BQ91" s="57" t="s">
        <v>1283</v>
      </c>
      <c r="BR91" s="57" t="s">
        <v>1283</v>
      </c>
      <c r="BS91" s="57" t="s">
        <v>1283</v>
      </c>
      <c r="BT91" s="57" t="s">
        <v>1283</v>
      </c>
      <c r="BU91" s="57" t="s">
        <v>1283</v>
      </c>
      <c r="BV91" s="70">
        <f t="shared" si="226"/>
        <v>63</v>
      </c>
      <c r="BW91" s="71">
        <f t="shared" si="227"/>
        <v>96</v>
      </c>
      <c r="BX91" s="72">
        <f t="shared" si="228"/>
        <v>100</v>
      </c>
      <c r="BY91" s="71">
        <f t="shared" si="229"/>
        <v>132</v>
      </c>
      <c r="BZ91" s="72">
        <f t="shared" si="230"/>
        <v>136</v>
      </c>
      <c r="CA91" s="71">
        <f t="shared" si="231"/>
        <v>172</v>
      </c>
      <c r="CB91" s="72">
        <f t="shared" si="232"/>
        <v>180</v>
      </c>
      <c r="CC91" s="71">
        <f t="shared" si="233"/>
        <v>220</v>
      </c>
      <c r="CD91" s="72">
        <f t="shared" si="234"/>
        <v>227</v>
      </c>
      <c r="CE91" s="71">
        <f t="shared" si="235"/>
        <v>479</v>
      </c>
      <c r="CF91" s="72">
        <f t="shared" si="236"/>
        <v>521</v>
      </c>
      <c r="CG91" s="71">
        <f t="shared" si="237"/>
        <v>547</v>
      </c>
      <c r="CH91" s="70">
        <f t="shared" si="238"/>
        <v>95</v>
      </c>
      <c r="CI91" s="71">
        <f t="shared" si="239"/>
        <v>99</v>
      </c>
      <c r="CJ91" s="72">
        <f t="shared" si="240"/>
        <v>130</v>
      </c>
      <c r="CK91" s="72">
        <f t="shared" si="241"/>
        <v>135</v>
      </c>
      <c r="CL91" s="72">
        <f t="shared" si="242"/>
        <v>171</v>
      </c>
      <c r="CM91" s="72">
        <f t="shared" si="243"/>
        <v>179</v>
      </c>
      <c r="CN91" s="72">
        <f t="shared" si="244"/>
        <v>211</v>
      </c>
      <c r="CO91" s="72">
        <f t="shared" si="245"/>
        <v>222</v>
      </c>
      <c r="CP91" s="72">
        <f t="shared" si="246"/>
        <v>267</v>
      </c>
      <c r="CQ91" s="72">
        <f t="shared" si="247"/>
        <v>516</v>
      </c>
      <c r="CR91" s="72">
        <f t="shared" si="248"/>
        <v>546</v>
      </c>
      <c r="CS91" s="72">
        <f t="shared" si="249"/>
        <v>560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59"/>
        <v>acm3_rat_4U15</v>
      </c>
      <c r="B92" s="3" t="s">
        <v>905</v>
      </c>
      <c r="C92" s="3" t="s">
        <v>71</v>
      </c>
      <c r="D92" s="3" t="str">
        <f>IFERROR(MID(VLOOKUP($B92,Seqs!$A:$B,2,0),E92,1),"")</f>
        <v>I</v>
      </c>
      <c r="E92" s="3">
        <v>64</v>
      </c>
      <c r="F92" s="3" t="str">
        <f>IFERROR(MID(VLOOKUP($B92,Seqs!$A:$B,2,0),G92,1),"")</f>
        <v>N</v>
      </c>
      <c r="G92" s="3">
        <v>95</v>
      </c>
      <c r="H92" s="3" t="str">
        <f>IFERROR(MID(VLOOKUP($B92,Seqs!$A:$B,2,0),I92,1),"")</f>
        <v>K</v>
      </c>
      <c r="I92" s="23">
        <v>96</v>
      </c>
      <c r="J92" s="3" t="str">
        <f>IFERROR(MID(VLOOKUP($B92,Seqs!$A:$B,2,0),K92,1),"")</f>
        <v>K</v>
      </c>
      <c r="K92" s="23">
        <v>99</v>
      </c>
      <c r="L92" s="3" t="str">
        <f>IFERROR(MID(VLOOKUP($B92,Seqs!$A:$B,2,0),M92,1),"")</f>
        <v>T</v>
      </c>
      <c r="M92" s="3">
        <v>100</v>
      </c>
      <c r="N92" s="3" t="str">
        <f>IFERROR(MID(VLOOKUP($B92,Seqs!$A:$B,2,0),O92,1),"")</f>
        <v>M</v>
      </c>
      <c r="O92" s="3">
        <v>130</v>
      </c>
      <c r="P92" s="3" t="str">
        <f>IFERROR(MID(VLOOKUP($B92,Seqs!$A:$B,2,0),Q92,1),"")</f>
        <v>R</v>
      </c>
      <c r="Q92" s="3">
        <v>132</v>
      </c>
      <c r="R92" s="3" t="str">
        <f>IFERROR(MID(VLOOKUP($B92,Seqs!$A:$B,2,0),S92,1),"")</f>
        <v>L</v>
      </c>
      <c r="S92" s="3">
        <v>135</v>
      </c>
      <c r="T92" s="3" t="str">
        <f>IFERROR(MID(VLOOKUP($B92,Seqs!$A:$B,2,0),U92,1),"")</f>
        <v>G</v>
      </c>
      <c r="U92" s="3">
        <v>136</v>
      </c>
      <c r="V92" s="3" t="str">
        <f>IFERROR(MID(VLOOKUP($B92,Seqs!$A:$B,2,0),W92,1),"")</f>
        <v>R</v>
      </c>
      <c r="W92" s="3">
        <v>171</v>
      </c>
      <c r="X92" s="3" t="str">
        <f>IFERROR(MID(VLOOKUP($B92,Seqs!$A:$B,2,0),Y92,1),"")</f>
        <v>P</v>
      </c>
      <c r="Y92" s="3">
        <v>172</v>
      </c>
      <c r="Z92" s="3" t="str">
        <f>IFERROR(MID(VLOOKUP($B92,Seqs!$A:$B,2,0),AA92,1),"")</f>
        <v>R</v>
      </c>
      <c r="AA92" s="3">
        <v>179</v>
      </c>
      <c r="AB92" s="3" t="str">
        <f>IFERROR(MID(VLOOKUP($B92,Seqs!$A:$B,2,0),AC92,1),"")</f>
        <v>T</v>
      </c>
      <c r="AC92" s="9">
        <v>180</v>
      </c>
      <c r="AD92" s="3" t="str">
        <f>IFERROR(MID(VLOOKUP($B92,Seqs!$A:$B,2,0),AE92,1),"")</f>
        <v>G</v>
      </c>
      <c r="AE92" s="3">
        <v>211</v>
      </c>
      <c r="AF92" s="3" t="str">
        <f>IFERROR(MID(VLOOKUP($B92,Seqs!$A:$B,2,0),AG92,1),"")</f>
        <v>C</v>
      </c>
      <c r="AG92" s="3">
        <v>220</v>
      </c>
      <c r="AH92" s="3" t="str">
        <f>IFERROR(MID(VLOOKUP($B92,Seqs!$A:$B,2,0),AI92,1),"")</f>
        <v>I</v>
      </c>
      <c r="AI92" s="3">
        <v>222</v>
      </c>
      <c r="AJ92" s="3" t="str">
        <f>IFERROR(MID(VLOOKUP($B92,Seqs!$A:$B,2,0),AK92,1),"")</f>
        <v>E</v>
      </c>
      <c r="AK92" s="3">
        <v>227</v>
      </c>
      <c r="AL92" s="3" t="str">
        <f>IFERROR(MID(VLOOKUP($B92,Seqs!$A:$B,2,0),AM92,1),"")</f>
        <v>K</v>
      </c>
      <c r="AM92" s="3">
        <v>259</v>
      </c>
      <c r="AN92" s="3" t="str">
        <f>IFERROR(MID(VLOOKUP($B92,Seqs!$A:$B,2,0),AO92,1),"")</f>
        <v>I</v>
      </c>
      <c r="AO92" s="3">
        <v>483</v>
      </c>
      <c r="AP92" s="3" t="str">
        <f>IFERROR(MID(VLOOKUP($B92,Seqs!$A:$B,2,0),AQ92,1),"")</f>
        <v>C</v>
      </c>
      <c r="AQ92" s="3">
        <v>516</v>
      </c>
      <c r="AR92" s="3" t="str">
        <f>IFERROR(MID(VLOOKUP($B92,Seqs!$A:$B,2,0),AS92,1),"")</f>
        <v>P</v>
      </c>
      <c r="AS92" s="3">
        <v>521</v>
      </c>
      <c r="AT92" s="3" t="str">
        <f>IFERROR(MID(VLOOKUP($B92,Seqs!$A:$B,2,0),AU92,1),"")</f>
        <v>C</v>
      </c>
      <c r="AU92" s="3">
        <v>546</v>
      </c>
      <c r="AV92" s="3" t="str">
        <f>IFERROR(MID(VLOOKUP($B92,Seqs!$A:$B,2,0),AW92,1),"")</f>
        <v>N</v>
      </c>
      <c r="AW92" s="3">
        <v>547</v>
      </c>
      <c r="AX92" s="3" t="str">
        <f>IFERROR(MID(VLOOKUP($B92,Seqs!$A:$B,2,0),AY92,1),"")</f>
        <v>L</v>
      </c>
      <c r="AY92" s="3">
        <v>558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60"/>
        <v>1</v>
      </c>
      <c r="BC92" s="23">
        <f t="shared" si="225"/>
        <v>255</v>
      </c>
      <c r="BD92" s="16" t="s">
        <v>23</v>
      </c>
      <c r="BE92" s="3" t="s">
        <v>1370</v>
      </c>
      <c r="BF92" s="118">
        <v>2.8</v>
      </c>
      <c r="BG92" s="49" t="s">
        <v>1373</v>
      </c>
      <c r="BH92" s="49" t="s">
        <v>1373</v>
      </c>
      <c r="BI92" s="1"/>
      <c r="BJ92" s="70" t="s">
        <v>1283</v>
      </c>
      <c r="BK92" s="57" t="s">
        <v>1283</v>
      </c>
      <c r="BL92" s="57" t="s">
        <v>1283</v>
      </c>
      <c r="BM92" s="57" t="s">
        <v>1283</v>
      </c>
      <c r="BN92" s="57" t="s">
        <v>1283</v>
      </c>
      <c r="BO92" s="57" t="s">
        <v>1283</v>
      </c>
      <c r="BP92" s="57" t="s">
        <v>1283</v>
      </c>
      <c r="BQ92" s="57" t="s">
        <v>1283</v>
      </c>
      <c r="BR92" s="57" t="s">
        <v>1283</v>
      </c>
      <c r="BS92" s="57" t="s">
        <v>1283</v>
      </c>
      <c r="BT92" s="57" t="s">
        <v>1283</v>
      </c>
      <c r="BU92" s="57" t="s">
        <v>1283</v>
      </c>
      <c r="BV92" s="70">
        <f t="shared" si="226"/>
        <v>64</v>
      </c>
      <c r="BW92" s="71">
        <f t="shared" si="227"/>
        <v>96</v>
      </c>
      <c r="BX92" s="72">
        <f t="shared" si="228"/>
        <v>100</v>
      </c>
      <c r="BY92" s="71">
        <f t="shared" si="229"/>
        <v>132</v>
      </c>
      <c r="BZ92" s="72">
        <f t="shared" si="230"/>
        <v>136</v>
      </c>
      <c r="CA92" s="71">
        <f t="shared" si="231"/>
        <v>172</v>
      </c>
      <c r="CB92" s="72">
        <f t="shared" si="232"/>
        <v>180</v>
      </c>
      <c r="CC92" s="71">
        <f t="shared" si="233"/>
        <v>220</v>
      </c>
      <c r="CD92" s="72">
        <f t="shared" si="234"/>
        <v>227</v>
      </c>
      <c r="CE92" s="71">
        <f t="shared" si="235"/>
        <v>483</v>
      </c>
      <c r="CF92" s="72">
        <f t="shared" si="236"/>
        <v>521</v>
      </c>
      <c r="CG92" s="71">
        <f t="shared" si="237"/>
        <v>547</v>
      </c>
      <c r="CH92" s="70">
        <f t="shared" si="238"/>
        <v>95</v>
      </c>
      <c r="CI92" s="71">
        <f t="shared" si="239"/>
        <v>99</v>
      </c>
      <c r="CJ92" s="72">
        <f t="shared" si="240"/>
        <v>130</v>
      </c>
      <c r="CK92" s="72">
        <f t="shared" si="241"/>
        <v>135</v>
      </c>
      <c r="CL92" s="72">
        <f t="shared" si="242"/>
        <v>171</v>
      </c>
      <c r="CM92" s="72">
        <f t="shared" si="243"/>
        <v>179</v>
      </c>
      <c r="CN92" s="72">
        <f t="shared" si="244"/>
        <v>211</v>
      </c>
      <c r="CO92" s="72">
        <f t="shared" si="245"/>
        <v>222</v>
      </c>
      <c r="CP92" s="72">
        <f t="shared" si="246"/>
        <v>259</v>
      </c>
      <c r="CQ92" s="72">
        <f t="shared" si="247"/>
        <v>516</v>
      </c>
      <c r="CR92" s="72">
        <f t="shared" si="248"/>
        <v>546</v>
      </c>
      <c r="CS92" s="72">
        <f t="shared" si="249"/>
        <v>558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559"/>
        <v>acm3_rat_4U16</v>
      </c>
      <c r="B93" s="3" t="s">
        <v>905</v>
      </c>
      <c r="C93" s="3" t="s">
        <v>1049</v>
      </c>
      <c r="D93" s="3" t="str">
        <f>IFERROR(MID(VLOOKUP($B93,Seqs!$A:$B,2,0),E93,1),"")</f>
        <v>I</v>
      </c>
      <c r="E93" s="3">
        <v>64</v>
      </c>
      <c r="F93" s="3" t="str">
        <f>IFERROR(MID(VLOOKUP($B93,Seqs!$A:$B,2,0),G93,1),"")</f>
        <v>N</v>
      </c>
      <c r="G93" s="3">
        <v>95</v>
      </c>
      <c r="H93" s="3" t="str">
        <f>IFERROR(MID(VLOOKUP($B93,Seqs!$A:$B,2,0),I93,1),"")</f>
        <v>K</v>
      </c>
      <c r="I93" s="23">
        <v>96</v>
      </c>
      <c r="J93" s="3" t="str">
        <f>IFERROR(MID(VLOOKUP($B93,Seqs!$A:$B,2,0),K93,1),"")</f>
        <v>K</v>
      </c>
      <c r="K93" s="23">
        <v>99</v>
      </c>
      <c r="L93" s="3" t="str">
        <f>IFERROR(MID(VLOOKUP($B93,Seqs!$A:$B,2,0),M93,1),"")</f>
        <v>T</v>
      </c>
      <c r="M93" s="3">
        <v>100</v>
      </c>
      <c r="N93" s="3" t="str">
        <f>IFERROR(MID(VLOOKUP($B93,Seqs!$A:$B,2,0),O93,1),"")</f>
        <v>M</v>
      </c>
      <c r="O93" s="3">
        <v>130</v>
      </c>
      <c r="P93" s="3" t="str">
        <f>IFERROR(MID(VLOOKUP($B93,Seqs!$A:$B,2,0),Q93,1),"")</f>
        <v>R</v>
      </c>
      <c r="Q93" s="3">
        <v>132</v>
      </c>
      <c r="R93" s="3" t="str">
        <f>IFERROR(MID(VLOOKUP($B93,Seqs!$A:$B,2,0),S93,1),"")</f>
        <v>L</v>
      </c>
      <c r="S93" s="3">
        <v>135</v>
      </c>
      <c r="T93" s="3" t="str">
        <f>IFERROR(MID(VLOOKUP($B93,Seqs!$A:$B,2,0),U93,1),"")</f>
        <v>G</v>
      </c>
      <c r="U93" s="3">
        <v>136</v>
      </c>
      <c r="V93" s="3" t="str">
        <f>IFERROR(MID(VLOOKUP($B93,Seqs!$A:$B,2,0),W93,1),"")</f>
        <v>R</v>
      </c>
      <c r="W93" s="3">
        <v>171</v>
      </c>
      <c r="X93" s="3" t="str">
        <f>IFERROR(MID(VLOOKUP($B93,Seqs!$A:$B,2,0),Y93,1),"")</f>
        <v>P</v>
      </c>
      <c r="Y93" s="3">
        <v>172</v>
      </c>
      <c r="Z93" s="3" t="str">
        <f>IFERROR(MID(VLOOKUP($B93,Seqs!$A:$B,2,0),AA93,1),"")</f>
        <v>R</v>
      </c>
      <c r="AA93" s="3">
        <v>179</v>
      </c>
      <c r="AB93" s="3" t="str">
        <f>IFERROR(MID(VLOOKUP($B93,Seqs!$A:$B,2,0),AC93,1),"")</f>
        <v>T</v>
      </c>
      <c r="AC93" s="9">
        <v>180</v>
      </c>
      <c r="AD93" s="3" t="str">
        <f>IFERROR(MID(VLOOKUP($B93,Seqs!$A:$B,2,0),AE93,1),"")</f>
        <v>G</v>
      </c>
      <c r="AE93" s="3">
        <v>211</v>
      </c>
      <c r="AF93" s="3" t="str">
        <f>IFERROR(MID(VLOOKUP($B93,Seqs!$A:$B,2,0),AG93,1),"")</f>
        <v>C</v>
      </c>
      <c r="AG93" s="3">
        <v>220</v>
      </c>
      <c r="AH93" s="3" t="str">
        <f>IFERROR(MID(VLOOKUP($B93,Seqs!$A:$B,2,0),AI93,1),"")</f>
        <v>I</v>
      </c>
      <c r="AI93" s="3">
        <v>222</v>
      </c>
      <c r="AJ93" s="3" t="str">
        <f>IFERROR(MID(VLOOKUP($B93,Seqs!$A:$B,2,0),AK93,1),"")</f>
        <v>E</v>
      </c>
      <c r="AK93" s="3">
        <v>227</v>
      </c>
      <c r="AL93" s="3" t="str">
        <f>IFERROR(MID(VLOOKUP($B93,Seqs!$A:$B,2,0),AM93,1),"")</f>
        <v>K</v>
      </c>
      <c r="AM93" s="3">
        <v>259</v>
      </c>
      <c r="AN93" s="3" t="str">
        <f>IFERROR(MID(VLOOKUP($B93,Seqs!$A:$B,2,0),AO93,1),"")</f>
        <v>I</v>
      </c>
      <c r="AO93" s="3">
        <v>483</v>
      </c>
      <c r="AP93" s="3" t="str">
        <f>IFERROR(MID(VLOOKUP($B93,Seqs!$A:$B,2,0),AQ93,1),"")</f>
        <v>C</v>
      </c>
      <c r="AQ93" s="3">
        <v>516</v>
      </c>
      <c r="AR93" s="3" t="str">
        <f>IFERROR(MID(VLOOKUP($B93,Seqs!$A:$B,2,0),AS93,1),"")</f>
        <v>P</v>
      </c>
      <c r="AS93" s="3">
        <v>521</v>
      </c>
      <c r="AT93" s="3" t="str">
        <f>IFERROR(MID(VLOOKUP($B93,Seqs!$A:$B,2,0),AU93,1),"")</f>
        <v>C</v>
      </c>
      <c r="AU93" s="3">
        <v>546</v>
      </c>
      <c r="AV93" s="3" t="str">
        <f>IFERROR(MID(VLOOKUP($B93,Seqs!$A:$B,2,0),AW93,1),"")</f>
        <v/>
      </c>
      <c r="AW93" s="3" t="s">
        <v>23</v>
      </c>
      <c r="AX93" s="3" t="str">
        <f>IFERROR(MID(VLOOKUP($B93,Seqs!$A:$B,2,0),AY93,1),"")</f>
        <v/>
      </c>
      <c r="AY93" s="3" t="s">
        <v>23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si="560"/>
        <v>1</v>
      </c>
      <c r="BC93" s="23">
        <f t="shared" si="225"/>
        <v>244</v>
      </c>
      <c r="BD93" s="4" t="s">
        <v>23</v>
      </c>
      <c r="BE93" s="3" t="s">
        <v>1370</v>
      </c>
      <c r="BF93" s="118">
        <v>3.7</v>
      </c>
      <c r="BG93" s="49" t="s">
        <v>1373</v>
      </c>
      <c r="BH93" s="49" t="s">
        <v>1373</v>
      </c>
      <c r="BI93" s="1"/>
      <c r="BJ93" s="70" t="s">
        <v>1283</v>
      </c>
      <c r="BK93" s="57" t="s">
        <v>1283</v>
      </c>
      <c r="BL93" s="57" t="s">
        <v>1283</v>
      </c>
      <c r="BM93" s="57" t="s">
        <v>1283</v>
      </c>
      <c r="BN93" s="57" t="s">
        <v>1283</v>
      </c>
      <c r="BO93" s="57" t="s">
        <v>1283</v>
      </c>
      <c r="BP93" s="57" t="s">
        <v>1283</v>
      </c>
      <c r="BQ93" s="57" t="s">
        <v>1283</v>
      </c>
      <c r="BR93" s="57" t="s">
        <v>1283</v>
      </c>
      <c r="BS93" s="57" t="s">
        <v>1283</v>
      </c>
      <c r="BT93" s="57" t="s">
        <v>1283</v>
      </c>
      <c r="BU93" s="57" t="s">
        <v>1283</v>
      </c>
      <c r="BV93" s="70">
        <f t="shared" si="226"/>
        <v>64</v>
      </c>
      <c r="BW93" s="71">
        <f t="shared" si="227"/>
        <v>96</v>
      </c>
      <c r="BX93" s="72">
        <f t="shared" si="228"/>
        <v>100</v>
      </c>
      <c r="BY93" s="71">
        <f t="shared" si="229"/>
        <v>132</v>
      </c>
      <c r="BZ93" s="72">
        <f t="shared" si="230"/>
        <v>136</v>
      </c>
      <c r="CA93" s="71">
        <f t="shared" si="231"/>
        <v>172</v>
      </c>
      <c r="CB93" s="72">
        <f t="shared" si="232"/>
        <v>180</v>
      </c>
      <c r="CC93" s="71">
        <f t="shared" si="233"/>
        <v>220</v>
      </c>
      <c r="CD93" s="72">
        <f t="shared" si="234"/>
        <v>227</v>
      </c>
      <c r="CE93" s="71">
        <f t="shared" si="235"/>
        <v>483</v>
      </c>
      <c r="CF93" s="72">
        <f t="shared" si="236"/>
        <v>521</v>
      </c>
      <c r="CG93" s="71" t="str">
        <f t="shared" si="237"/>
        <v>-</v>
      </c>
      <c r="CH93" s="70">
        <f t="shared" si="238"/>
        <v>95</v>
      </c>
      <c r="CI93" s="71">
        <f t="shared" si="239"/>
        <v>99</v>
      </c>
      <c r="CJ93" s="72">
        <f t="shared" si="240"/>
        <v>130</v>
      </c>
      <c r="CK93" s="72">
        <f t="shared" si="241"/>
        <v>135</v>
      </c>
      <c r="CL93" s="72">
        <f t="shared" si="242"/>
        <v>171</v>
      </c>
      <c r="CM93" s="72">
        <f t="shared" si="243"/>
        <v>179</v>
      </c>
      <c r="CN93" s="72">
        <f t="shared" si="244"/>
        <v>211</v>
      </c>
      <c r="CO93" s="72">
        <f t="shared" si="245"/>
        <v>222</v>
      </c>
      <c r="CP93" s="72">
        <f t="shared" si="246"/>
        <v>259</v>
      </c>
      <c r="CQ93" s="72">
        <f t="shared" si="247"/>
        <v>516</v>
      </c>
      <c r="CR93" s="72">
        <f t="shared" si="248"/>
        <v>546</v>
      </c>
      <c r="CS93" s="72" t="str">
        <f t="shared" si="249"/>
        <v>-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ref="A94" si="757">CONCATENATE(B94,"_",C94)</f>
        <v>acm3_rat_5ZHP</v>
      </c>
      <c r="B94" s="3" t="s">
        <v>905</v>
      </c>
      <c r="C94" s="3" t="s">
        <v>1572</v>
      </c>
      <c r="D94" s="3" t="str">
        <f>IFERROR(MID(VLOOKUP($B94,Seqs!$A:$B,2,0),E94,1),"")</f>
        <v>T</v>
      </c>
      <c r="E94" s="3">
        <v>63</v>
      </c>
      <c r="F94" s="3" t="str">
        <f>IFERROR(MID(VLOOKUP($B94,Seqs!$A:$B,2,0),G94,1),"")</f>
        <v>N</v>
      </c>
      <c r="G94" s="3">
        <v>95</v>
      </c>
      <c r="H94" s="3" t="str">
        <f>IFERROR(MID(VLOOKUP($B94,Seqs!$A:$B,2,0),I94,1),"")</f>
        <v>K</v>
      </c>
      <c r="I94" s="23">
        <v>96</v>
      </c>
      <c r="J94" s="3" t="str">
        <f>IFERROR(MID(VLOOKUP($B94,Seqs!$A:$B,2,0),K94,1),"")</f>
        <v>K</v>
      </c>
      <c r="K94" s="23">
        <v>99</v>
      </c>
      <c r="L94" s="3" t="str">
        <f>IFERROR(MID(VLOOKUP($B94,Seqs!$A:$B,2,0),M94,1),"")</f>
        <v>T</v>
      </c>
      <c r="M94" s="3">
        <v>100</v>
      </c>
      <c r="N94" s="3" t="str">
        <f>IFERROR(MID(VLOOKUP($B94,Seqs!$A:$B,2,0),O94,1),"")</f>
        <v>M</v>
      </c>
      <c r="O94" s="3">
        <v>130</v>
      </c>
      <c r="P94" s="3" t="str">
        <f>IFERROR(MID(VLOOKUP($B94,Seqs!$A:$B,2,0),Q94,1),"")</f>
        <v>R</v>
      </c>
      <c r="Q94" s="3">
        <v>132</v>
      </c>
      <c r="R94" s="3" t="str">
        <f>IFERROR(MID(VLOOKUP($B94,Seqs!$A:$B,2,0),S94,1),"")</f>
        <v>L</v>
      </c>
      <c r="S94" s="3">
        <v>135</v>
      </c>
      <c r="T94" s="3" t="str">
        <f>IFERROR(MID(VLOOKUP($B94,Seqs!$A:$B,2,0),U94,1),"")</f>
        <v>G</v>
      </c>
      <c r="U94" s="3">
        <v>136</v>
      </c>
      <c r="V94" s="3" t="str">
        <f>IFERROR(MID(VLOOKUP($B94,Seqs!$A:$B,2,0),W94,1),"")</f>
        <v>R</v>
      </c>
      <c r="W94" s="3">
        <v>171</v>
      </c>
      <c r="X94" s="3" t="str">
        <f>IFERROR(MID(VLOOKUP($B94,Seqs!$A:$B,2,0),Y94,1),"")</f>
        <v>P</v>
      </c>
      <c r="Y94" s="3">
        <v>172</v>
      </c>
      <c r="Z94" s="3" t="str">
        <f>IFERROR(MID(VLOOKUP($B94,Seqs!$A:$B,2,0),AA94,1),"")</f>
        <v>R</v>
      </c>
      <c r="AA94" s="3">
        <v>179</v>
      </c>
      <c r="AB94" s="3" t="str">
        <f>IFERROR(MID(VLOOKUP($B94,Seqs!$A:$B,2,0),AC94,1),"")</f>
        <v>T</v>
      </c>
      <c r="AC94" s="3">
        <v>180</v>
      </c>
      <c r="AD94" s="3" t="str">
        <f>IFERROR(MID(VLOOKUP($B94,Seqs!$A:$B,2,0),AE94,1),"")</f>
        <v>G</v>
      </c>
      <c r="AE94" s="3">
        <v>211</v>
      </c>
      <c r="AF94" s="3" t="str">
        <f>IFERROR(MID(VLOOKUP($B94,Seqs!$A:$B,2,0),AG94,1),"")</f>
        <v>C</v>
      </c>
      <c r="AG94" s="3">
        <v>220</v>
      </c>
      <c r="AH94" s="3" t="str">
        <f>IFERROR(MID(VLOOKUP($B94,Seqs!$A:$B,2,0),AI94,1),"")</f>
        <v>I</v>
      </c>
      <c r="AI94" s="3">
        <v>222</v>
      </c>
      <c r="AJ94" s="3" t="str">
        <f>IFERROR(MID(VLOOKUP($B94,Seqs!$A:$B,2,0),AK94,1),"")</f>
        <v>E</v>
      </c>
      <c r="AK94" s="3">
        <v>227</v>
      </c>
      <c r="AL94" s="3" t="str">
        <f>IFERROR(MID(VLOOKUP($B94,Seqs!$A:$B,2,0),AM94,1),"")</f>
        <v>K</v>
      </c>
      <c r="AM94" s="3">
        <v>259</v>
      </c>
      <c r="AN94" s="3" t="str">
        <f>IFERROR(MID(VLOOKUP($B94,Seqs!$A:$B,2,0),AO94,1),"")</f>
        <v>L</v>
      </c>
      <c r="AO94" s="3">
        <v>482</v>
      </c>
      <c r="AP94" s="3" t="str">
        <f>IFERROR(MID(VLOOKUP($B94,Seqs!$A:$B,2,0),AQ94,1),"")</f>
        <v>C</v>
      </c>
      <c r="AQ94" s="3">
        <v>516</v>
      </c>
      <c r="AR94" s="3" t="str">
        <f>IFERROR(MID(VLOOKUP($B94,Seqs!$A:$B,2,0),AS94,1),"")</f>
        <v>P</v>
      </c>
      <c r="AS94" s="3">
        <v>521</v>
      </c>
      <c r="AT94" s="3" t="str">
        <f>IFERROR(MID(VLOOKUP($B94,Seqs!$A:$B,2,0),AU94,1),"")</f>
        <v>C</v>
      </c>
      <c r="AU94" s="3">
        <v>546</v>
      </c>
      <c r="AV94" s="3" t="str">
        <f>IFERROR(MID(VLOOKUP($B94,Seqs!$A:$B,2,0),AW94,1),"")</f>
        <v>N</v>
      </c>
      <c r="AW94" s="3">
        <v>547</v>
      </c>
      <c r="AX94" s="3" t="str">
        <f>IFERROR(MID(VLOOKUP($B94,Seqs!$A:$B,2,0),AY94,1),"")</f>
        <v>C</v>
      </c>
      <c r="AY94" s="3">
        <v>560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ref="BB94" si="758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759">_xlfn.AGGREGATE(9,6,CH94:CS94)-_xlfn.AGGREGATE(9,6,BV94:CG94)+12</f>
        <v>259</v>
      </c>
      <c r="BD94" s="4" t="s">
        <v>1372</v>
      </c>
      <c r="BE94" s="3" t="s">
        <v>1370</v>
      </c>
      <c r="BF94" s="118">
        <v>3.1</v>
      </c>
      <c r="BG94" s="49" t="s">
        <v>1277</v>
      </c>
      <c r="BH94" s="49" t="s">
        <v>1277</v>
      </c>
      <c r="BI94" s="1"/>
      <c r="BJ94" s="70" t="s">
        <v>1283</v>
      </c>
      <c r="BK94" s="57" t="s">
        <v>1283</v>
      </c>
      <c r="BL94" s="57" t="s">
        <v>1283</v>
      </c>
      <c r="BM94" s="57" t="s">
        <v>1283</v>
      </c>
      <c r="BN94" s="57" t="s">
        <v>1283</v>
      </c>
      <c r="BO94" s="57" t="s">
        <v>1283</v>
      </c>
      <c r="BP94" s="57" t="s">
        <v>1283</v>
      </c>
      <c r="BQ94" s="57" t="s">
        <v>1283</v>
      </c>
      <c r="BR94" s="57" t="s">
        <v>1283</v>
      </c>
      <c r="BS94" s="57" t="s">
        <v>1283</v>
      </c>
      <c r="BT94" s="57" t="s">
        <v>1283</v>
      </c>
      <c r="BU94" s="57" t="s">
        <v>1283</v>
      </c>
      <c r="BV94" s="70">
        <f t="shared" ref="BV94" si="760">E94</f>
        <v>63</v>
      </c>
      <c r="BW94" s="71">
        <f t="shared" ref="BW94" si="761">I94</f>
        <v>96</v>
      </c>
      <c r="BX94" s="72">
        <f t="shared" ref="BX94" si="762">M94</f>
        <v>100</v>
      </c>
      <c r="BY94" s="71">
        <f t="shared" ref="BY94" si="763">Q94</f>
        <v>132</v>
      </c>
      <c r="BZ94" s="72">
        <f t="shared" ref="BZ94" si="764">U94</f>
        <v>136</v>
      </c>
      <c r="CA94" s="71">
        <f t="shared" ref="CA94" si="765">Y94</f>
        <v>172</v>
      </c>
      <c r="CB94" s="72">
        <f t="shared" ref="CB94" si="766">AC94</f>
        <v>180</v>
      </c>
      <c r="CC94" s="71">
        <f t="shared" ref="CC94" si="767">AG94</f>
        <v>220</v>
      </c>
      <c r="CD94" s="72">
        <f t="shared" ref="CD94" si="768">AK94</f>
        <v>227</v>
      </c>
      <c r="CE94" s="71">
        <f t="shared" ref="CE94" si="769">AO94</f>
        <v>482</v>
      </c>
      <c r="CF94" s="72">
        <f t="shared" ref="CF94" si="770">AS94</f>
        <v>521</v>
      </c>
      <c r="CG94" s="71">
        <f t="shared" ref="CG94" si="771">AW94</f>
        <v>547</v>
      </c>
      <c r="CH94" s="70">
        <f t="shared" ref="CH94" si="772">G94</f>
        <v>95</v>
      </c>
      <c r="CI94" s="71">
        <f t="shared" ref="CI94" si="773">K94</f>
        <v>99</v>
      </c>
      <c r="CJ94" s="72">
        <f t="shared" ref="CJ94" si="774">O94</f>
        <v>130</v>
      </c>
      <c r="CK94" s="72">
        <f t="shared" ref="CK94" si="775">S94</f>
        <v>135</v>
      </c>
      <c r="CL94" s="72">
        <f t="shared" ref="CL94" si="776">W94</f>
        <v>171</v>
      </c>
      <c r="CM94" s="72">
        <f t="shared" ref="CM94" si="777">AA94</f>
        <v>179</v>
      </c>
      <c r="CN94" s="72">
        <f t="shared" ref="CN94" si="778">AE94</f>
        <v>211</v>
      </c>
      <c r="CO94" s="72">
        <f t="shared" ref="CO94" si="779">AI94</f>
        <v>222</v>
      </c>
      <c r="CP94" s="72">
        <f t="shared" ref="CP94" si="780">AM94</f>
        <v>259</v>
      </c>
      <c r="CQ94" s="72">
        <f t="shared" ref="CQ94" si="781">AQ94</f>
        <v>516</v>
      </c>
      <c r="CR94" s="72">
        <f t="shared" ref="CR94" si="782">AU94</f>
        <v>546</v>
      </c>
      <c r="CS94" s="72">
        <f t="shared" ref="CS94" si="783">AY94</f>
        <v>560</v>
      </c>
      <c r="CT94" s="23">
        <f t="shared" ref="CT94" si="784">M94-K94</f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559"/>
        <v>acm4_human__wt</v>
      </c>
      <c r="B95" s="3" t="s">
        <v>149</v>
      </c>
      <c r="C95" s="3" t="s">
        <v>100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60</v>
      </c>
      <c r="H95" s="3" t="str">
        <f>IFERROR(MID(VLOOKUP($B95,Seqs!$A:$B,2,0),I95,1),"")</f>
        <v>R</v>
      </c>
      <c r="I95" s="23">
        <v>61</v>
      </c>
      <c r="J95" s="3" t="str">
        <f>IFERROR(MID(VLOOKUP($B95,Seqs!$A:$B,2,0),K95,1),"")</f>
        <v>Q</v>
      </c>
      <c r="K95" s="23">
        <v>64</v>
      </c>
      <c r="L95" s="3" t="str">
        <f>IFERROR(MID(VLOOKUP($B95,Seqs!$A:$B,2,0),M95,1),"")</f>
        <v>T</v>
      </c>
      <c r="M95" s="3">
        <v>65</v>
      </c>
      <c r="N95" s="3" t="str">
        <f>IFERROR(MID(VLOOKUP($B95,Seqs!$A:$B,2,0),O95,1),"")</f>
        <v>G</v>
      </c>
      <c r="O95" s="3">
        <v>96</v>
      </c>
      <c r="P95" s="3" t="str">
        <f>IFERROR(MID(VLOOKUP($B95,Seqs!$A:$B,2,0),Q95,1),"")</f>
        <v>Y</v>
      </c>
      <c r="Q95" s="3">
        <v>97</v>
      </c>
      <c r="R95" s="3" t="str">
        <f>IFERROR(MID(VLOOKUP($B95,Seqs!$A:$B,2,0),S95,1),"")</f>
        <v>L</v>
      </c>
      <c r="S95" s="3">
        <v>100</v>
      </c>
      <c r="T95" s="3" t="str">
        <f>IFERROR(MID(VLOOKUP($B95,Seqs!$A:$B,2,0),U95,1),"")</f>
        <v>G</v>
      </c>
      <c r="U95" s="3">
        <v>101</v>
      </c>
      <c r="V95" s="3" t="str">
        <f>IFERROR(MID(VLOOKUP($B95,Seqs!$A:$B,2,0),W95,1),"")</f>
        <v>K</v>
      </c>
      <c r="W95" s="3">
        <v>136</v>
      </c>
      <c r="X95" s="3" t="str">
        <f>IFERROR(MID(VLOOKUP($B95,Seqs!$A:$B,2,0),Y95,1),"")</f>
        <v>P</v>
      </c>
      <c r="Y95" s="3">
        <v>137</v>
      </c>
      <c r="Z95" s="3" t="str">
        <f>IFERROR(MID(VLOOKUP($B95,Seqs!$A:$B,2,0),AA95,1),"")</f>
        <v>R</v>
      </c>
      <c r="AA95" s="3">
        <v>144</v>
      </c>
      <c r="AB95" s="3" t="str">
        <f>IFERROR(MID(VLOOKUP($B95,Seqs!$A:$B,2,0),AC95,1),"")</f>
        <v>T</v>
      </c>
      <c r="AC95" s="3">
        <v>145</v>
      </c>
      <c r="AD95" s="3" t="str">
        <f>IFERROR(MID(VLOOKUP($B95,Seqs!$A:$B,2,0),AE95,1),"")</f>
        <v>G</v>
      </c>
      <c r="AE95" s="3">
        <v>176</v>
      </c>
      <c r="AF95" s="3" t="str">
        <f>IFERROR(MID(VLOOKUP($B95,Seqs!$A:$B,2,0),AG95,1),"")</f>
        <v>C</v>
      </c>
      <c r="AG95" s="3">
        <v>185</v>
      </c>
      <c r="AH95" s="3" t="str">
        <f>IFERROR(MID(VLOOKUP($B95,Seqs!$A:$B,2,0),AI95,1),"")</f>
        <v>I</v>
      </c>
      <c r="AI95" s="3">
        <v>187</v>
      </c>
      <c r="AJ95" s="3" t="str">
        <f>IFERROR(MID(VLOOKUP($B95,Seqs!$A:$B,2,0),AK95,1),"")</f>
        <v>N</v>
      </c>
      <c r="AK95" s="3">
        <v>192</v>
      </c>
      <c r="AL95" s="3" t="str">
        <f>IFERROR(MID(VLOOKUP($B95,Seqs!$A:$B,2,0),AM95,1),"")</f>
        <v>E</v>
      </c>
      <c r="AM95" s="3">
        <v>232</v>
      </c>
      <c r="AN95" s="3" t="str">
        <f>IFERROR(MID(VLOOKUP($B95,Seqs!$A:$B,2,0),AO95,1),"")</f>
        <v>R</v>
      </c>
      <c r="AO95" s="3">
        <v>389</v>
      </c>
      <c r="AP95" s="3" t="str">
        <f>IFERROR(MID(VLOOKUP($B95,Seqs!$A:$B,2,0),AQ95,1),"")</f>
        <v>C</v>
      </c>
      <c r="AQ95" s="3">
        <v>426</v>
      </c>
      <c r="AR95" s="3" t="str">
        <f>IFERROR(MID(VLOOKUP($B95,Seqs!$A:$B,2,0),AS95,1),"")</f>
        <v>P</v>
      </c>
      <c r="AS95" s="3">
        <v>431</v>
      </c>
      <c r="AT95" s="3" t="str">
        <f>IFERROR(MID(VLOOKUP($B95,Seqs!$A:$B,2,0),AU95,1),"")</f>
        <v>C</v>
      </c>
      <c r="AU95" s="3">
        <v>456</v>
      </c>
      <c r="AV95" s="3" t="str">
        <f>IFERROR(MID(VLOOKUP($B95,Seqs!$A:$B,2,0),AW95,1),"")</f>
        <v>N</v>
      </c>
      <c r="AW95" s="3">
        <v>457</v>
      </c>
      <c r="AX95" s="3" t="str">
        <f>IFERROR(MID(VLOOKUP($B95,Seqs!$A:$B,2,0),AY95,1),"")</f>
        <v>Q</v>
      </c>
      <c r="AY95" s="3">
        <v>471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si="560"/>
        <v>1</v>
      </c>
      <c r="BC95" s="23">
        <f t="shared" si="225"/>
        <v>274</v>
      </c>
      <c r="BD95" s="34" t="s">
        <v>23</v>
      </c>
      <c r="BE95" s="3" t="s">
        <v>23</v>
      </c>
      <c r="BF95" s="118" t="s">
        <v>23</v>
      </c>
      <c r="BG95" s="49" t="s">
        <v>1368</v>
      </c>
      <c r="BH95" s="49" t="s">
        <v>1373</v>
      </c>
      <c r="BI95" s="1"/>
      <c r="BJ95" s="70" t="s">
        <v>1283</v>
      </c>
      <c r="BK95" s="57" t="s">
        <v>1283</v>
      </c>
      <c r="BL95" s="57" t="s">
        <v>1283</v>
      </c>
      <c r="BM95" s="57" t="s">
        <v>1283</v>
      </c>
      <c r="BN95" s="57" t="s">
        <v>1283</v>
      </c>
      <c r="BO95" s="57" t="s">
        <v>1283</v>
      </c>
      <c r="BP95" s="57" t="s">
        <v>1283</v>
      </c>
      <c r="BQ95" s="57" t="s">
        <v>1283</v>
      </c>
      <c r="BR95" s="57" t="s">
        <v>1283</v>
      </c>
      <c r="BS95" s="57" t="s">
        <v>1283</v>
      </c>
      <c r="BT95" s="57" t="s">
        <v>1283</v>
      </c>
      <c r="BU95" s="57" t="s">
        <v>1283</v>
      </c>
      <c r="BV95" s="70">
        <f t="shared" si="226"/>
        <v>26</v>
      </c>
      <c r="BW95" s="71">
        <f t="shared" si="227"/>
        <v>61</v>
      </c>
      <c r="BX95" s="72">
        <f t="shared" si="228"/>
        <v>65</v>
      </c>
      <c r="BY95" s="71">
        <f t="shared" si="229"/>
        <v>97</v>
      </c>
      <c r="BZ95" s="72">
        <f t="shared" si="230"/>
        <v>101</v>
      </c>
      <c r="CA95" s="71">
        <f t="shared" si="231"/>
        <v>137</v>
      </c>
      <c r="CB95" s="72">
        <f t="shared" si="232"/>
        <v>145</v>
      </c>
      <c r="CC95" s="71">
        <f t="shared" si="233"/>
        <v>185</v>
      </c>
      <c r="CD95" s="72">
        <f t="shared" si="234"/>
        <v>192</v>
      </c>
      <c r="CE95" s="71">
        <f t="shared" si="235"/>
        <v>389</v>
      </c>
      <c r="CF95" s="72">
        <f t="shared" si="236"/>
        <v>431</v>
      </c>
      <c r="CG95" s="71">
        <f t="shared" si="237"/>
        <v>457</v>
      </c>
      <c r="CH95" s="70">
        <f t="shared" si="238"/>
        <v>60</v>
      </c>
      <c r="CI95" s="71">
        <f t="shared" si="239"/>
        <v>64</v>
      </c>
      <c r="CJ95" s="72">
        <f t="shared" si="240"/>
        <v>96</v>
      </c>
      <c r="CK95" s="72">
        <f t="shared" si="241"/>
        <v>100</v>
      </c>
      <c r="CL95" s="72">
        <f t="shared" si="242"/>
        <v>136</v>
      </c>
      <c r="CM95" s="72">
        <f t="shared" si="243"/>
        <v>144</v>
      </c>
      <c r="CN95" s="72">
        <f t="shared" si="244"/>
        <v>176</v>
      </c>
      <c r="CO95" s="72">
        <f t="shared" si="245"/>
        <v>187</v>
      </c>
      <c r="CP95" s="72">
        <f t="shared" si="246"/>
        <v>232</v>
      </c>
      <c r="CQ95" s="72">
        <f t="shared" si="247"/>
        <v>426</v>
      </c>
      <c r="CR95" s="72">
        <f t="shared" si="248"/>
        <v>456</v>
      </c>
      <c r="CS95" s="72">
        <f t="shared" si="249"/>
        <v>471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559"/>
        <v>acm4_human_5DSG</v>
      </c>
      <c r="B96" s="3" t="s">
        <v>149</v>
      </c>
      <c r="C96" s="3" t="s">
        <v>61</v>
      </c>
      <c r="D96" s="3" t="str">
        <f>IFERROR(MID(VLOOKUP($B96,Seqs!$A:$B,2,0),E96,1),"")</f>
        <v>R</v>
      </c>
      <c r="E96" s="3">
        <v>26</v>
      </c>
      <c r="F96" s="3" t="str">
        <f>IFERROR(MID(VLOOKUP($B96,Seqs!$A:$B,2,0),G96,1),"")</f>
        <v>N</v>
      </c>
      <c r="G96" s="3">
        <v>60</v>
      </c>
      <c r="H96" s="3" t="str">
        <f>IFERROR(MID(VLOOKUP($B96,Seqs!$A:$B,2,0),I96,1),"")</f>
        <v>R</v>
      </c>
      <c r="I96" s="23">
        <v>61</v>
      </c>
      <c r="J96" s="3" t="str">
        <f>IFERROR(MID(VLOOKUP($B96,Seqs!$A:$B,2,0),K96,1),"")</f>
        <v>Q</v>
      </c>
      <c r="K96" s="23">
        <v>64</v>
      </c>
      <c r="L96" s="3" t="str">
        <f>IFERROR(MID(VLOOKUP($B96,Seqs!$A:$B,2,0),M96,1),"")</f>
        <v>T</v>
      </c>
      <c r="M96" s="3">
        <v>65</v>
      </c>
      <c r="N96" s="3" t="str">
        <f>IFERROR(MID(VLOOKUP($B96,Seqs!$A:$B,2,0),O96,1),"")</f>
        <v>G</v>
      </c>
      <c r="O96" s="3">
        <v>96</v>
      </c>
      <c r="P96" s="3" t="str">
        <f>IFERROR(MID(VLOOKUP($B96,Seqs!$A:$B,2,0),Q96,1),"")</f>
        <v>Y</v>
      </c>
      <c r="Q96" s="3">
        <v>97</v>
      </c>
      <c r="R96" s="3" t="str">
        <f>IFERROR(MID(VLOOKUP($B96,Seqs!$A:$B,2,0),S96,1),"")</f>
        <v>L</v>
      </c>
      <c r="S96" s="3">
        <v>100</v>
      </c>
      <c r="T96" s="3" t="str">
        <f>IFERROR(MID(VLOOKUP($B96,Seqs!$A:$B,2,0),U96,1),"")</f>
        <v>G</v>
      </c>
      <c r="U96" s="3">
        <v>101</v>
      </c>
      <c r="V96" s="3" t="str">
        <f>IFERROR(MID(VLOOKUP($B96,Seqs!$A:$B,2,0),W96,1),"")</f>
        <v>K</v>
      </c>
      <c r="W96" s="3">
        <v>136</v>
      </c>
      <c r="X96" s="3" t="str">
        <f>IFERROR(MID(VLOOKUP($B96,Seqs!$A:$B,2,0),Y96,1),"")</f>
        <v>P</v>
      </c>
      <c r="Y96" s="3">
        <v>137</v>
      </c>
      <c r="Z96" s="3" t="str">
        <f>IFERROR(MID(VLOOKUP($B96,Seqs!$A:$B,2,0),AA96,1),"")</f>
        <v>R</v>
      </c>
      <c r="AA96" s="3">
        <v>144</v>
      </c>
      <c r="AB96" s="3" t="str">
        <f>IFERROR(MID(VLOOKUP($B96,Seqs!$A:$B,2,0),AC96,1),"")</f>
        <v>T</v>
      </c>
      <c r="AC96" s="3">
        <v>145</v>
      </c>
      <c r="AD96" s="3" t="str">
        <f>IFERROR(MID(VLOOKUP($B96,Seqs!$A:$B,2,0),AE96,1),"")</f>
        <v>G</v>
      </c>
      <c r="AE96" s="3">
        <v>176</v>
      </c>
      <c r="AF96" s="3" t="str">
        <f>IFERROR(MID(VLOOKUP($B96,Seqs!$A:$B,2,0),AG96,1),"")</f>
        <v>C</v>
      </c>
      <c r="AG96" s="3">
        <v>185</v>
      </c>
      <c r="AH96" s="3" t="str">
        <f>IFERROR(MID(VLOOKUP($B96,Seqs!$A:$B,2,0),AI96,1),"")</f>
        <v>I</v>
      </c>
      <c r="AI96" s="3">
        <v>187</v>
      </c>
      <c r="AJ96" s="3" t="str">
        <f>IFERROR(MID(VLOOKUP($B96,Seqs!$A:$B,2,0),AK96,1),"")</f>
        <v>N</v>
      </c>
      <c r="AK96" s="3">
        <v>192</v>
      </c>
      <c r="AL96" s="3" t="str">
        <f>IFERROR(MID(VLOOKUP($B96,Seqs!$A:$B,2,0),AM96,1),"")</f>
        <v>L</v>
      </c>
      <c r="AM96" s="3">
        <v>220</v>
      </c>
      <c r="AN96" s="3" t="str">
        <f>IFERROR(MID(VLOOKUP($B96,Seqs!$A:$B,2,0),AO96,1),"")</f>
        <v>R</v>
      </c>
      <c r="AO96" s="3">
        <v>396</v>
      </c>
      <c r="AP96" s="3" t="str">
        <f>IFERROR(MID(VLOOKUP($B96,Seqs!$A:$B,2,0),AQ96,1),"")</f>
        <v>C</v>
      </c>
      <c r="AQ96" s="3">
        <v>426</v>
      </c>
      <c r="AR96" s="3" t="str">
        <f>IFERROR(MID(VLOOKUP($B96,Seqs!$A:$B,2,0),AS96,1),"")</f>
        <v>P</v>
      </c>
      <c r="AS96" s="3">
        <v>431</v>
      </c>
      <c r="AT96" s="3" t="str">
        <f>IFERROR(MID(VLOOKUP($B96,Seqs!$A:$B,2,0),AU96,1),"")</f>
        <v>C</v>
      </c>
      <c r="AU96" s="3">
        <v>456</v>
      </c>
      <c r="AV96" s="3" t="str">
        <f>IFERROR(MID(VLOOKUP($B96,Seqs!$A:$B,2,0),AW96,1),"")</f>
        <v>N</v>
      </c>
      <c r="AW96" s="3">
        <v>457</v>
      </c>
      <c r="AX96" s="3" t="str">
        <f>IFERROR(MID(VLOOKUP($B96,Seqs!$A:$B,2,0),AY96,1),"")</f>
        <v>L</v>
      </c>
      <c r="AY96" s="3">
        <v>469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560"/>
        <v>1</v>
      </c>
      <c r="BC96" s="23">
        <f t="shared" si="225"/>
        <v>253</v>
      </c>
      <c r="BD96" s="2" t="s">
        <v>23</v>
      </c>
      <c r="BE96" s="3" t="s">
        <v>1370</v>
      </c>
      <c r="BF96" s="118">
        <v>2.6</v>
      </c>
      <c r="BG96" s="49" t="s">
        <v>1373</v>
      </c>
      <c r="BH96" s="49" t="s">
        <v>1373</v>
      </c>
      <c r="BI96" s="1"/>
      <c r="BJ96" s="70" t="s">
        <v>1283</v>
      </c>
      <c r="BK96" s="57" t="s">
        <v>1283</v>
      </c>
      <c r="BL96" s="57" t="s">
        <v>1283</v>
      </c>
      <c r="BM96" s="57" t="s">
        <v>1283</v>
      </c>
      <c r="BN96" s="57" t="s">
        <v>1283</v>
      </c>
      <c r="BO96" s="57" t="s">
        <v>1283</v>
      </c>
      <c r="BP96" s="57" t="s">
        <v>1283</v>
      </c>
      <c r="BQ96" s="57" t="s">
        <v>1283</v>
      </c>
      <c r="BR96" s="57" t="s">
        <v>1283</v>
      </c>
      <c r="BS96" s="57" t="s">
        <v>1283</v>
      </c>
      <c r="BT96" s="57" t="s">
        <v>1283</v>
      </c>
      <c r="BU96" s="57" t="s">
        <v>1283</v>
      </c>
      <c r="BV96" s="70">
        <f t="shared" si="226"/>
        <v>26</v>
      </c>
      <c r="BW96" s="71">
        <f t="shared" si="227"/>
        <v>61</v>
      </c>
      <c r="BX96" s="72">
        <f t="shared" si="228"/>
        <v>65</v>
      </c>
      <c r="BY96" s="71">
        <f t="shared" si="229"/>
        <v>97</v>
      </c>
      <c r="BZ96" s="72">
        <f t="shared" si="230"/>
        <v>101</v>
      </c>
      <c r="CA96" s="71">
        <f t="shared" si="231"/>
        <v>137</v>
      </c>
      <c r="CB96" s="72">
        <f t="shared" si="232"/>
        <v>145</v>
      </c>
      <c r="CC96" s="71">
        <f t="shared" si="233"/>
        <v>185</v>
      </c>
      <c r="CD96" s="72">
        <f t="shared" si="234"/>
        <v>192</v>
      </c>
      <c r="CE96" s="71">
        <f t="shared" si="235"/>
        <v>396</v>
      </c>
      <c r="CF96" s="72">
        <f t="shared" si="236"/>
        <v>431</v>
      </c>
      <c r="CG96" s="71">
        <f t="shared" si="237"/>
        <v>457</v>
      </c>
      <c r="CH96" s="70">
        <f t="shared" si="238"/>
        <v>60</v>
      </c>
      <c r="CI96" s="71">
        <f t="shared" si="239"/>
        <v>64</v>
      </c>
      <c r="CJ96" s="72">
        <f t="shared" si="240"/>
        <v>96</v>
      </c>
      <c r="CK96" s="72">
        <f t="shared" si="241"/>
        <v>100</v>
      </c>
      <c r="CL96" s="72">
        <f t="shared" si="242"/>
        <v>136</v>
      </c>
      <c r="CM96" s="72">
        <f t="shared" si="243"/>
        <v>144</v>
      </c>
      <c r="CN96" s="72">
        <f t="shared" si="244"/>
        <v>176</v>
      </c>
      <c r="CO96" s="72">
        <f t="shared" si="245"/>
        <v>187</v>
      </c>
      <c r="CP96" s="72">
        <f t="shared" si="246"/>
        <v>220</v>
      </c>
      <c r="CQ96" s="72">
        <f t="shared" si="247"/>
        <v>426</v>
      </c>
      <c r="CR96" s="72">
        <f t="shared" si="248"/>
        <v>456</v>
      </c>
      <c r="CS96" s="72">
        <f t="shared" si="249"/>
        <v>469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ref="A97" si="785">CONCATENATE(B97,"_",C97)</f>
        <v>acm4_human_6KP6</v>
      </c>
      <c r="B97" s="3" t="s">
        <v>149</v>
      </c>
      <c r="C97" s="3" t="s">
        <v>1653</v>
      </c>
      <c r="D97" s="3" t="str">
        <f>IFERROR(MID(VLOOKUP($B97,Seqs!$A:$B,2,0),E97,1),"")</f>
        <v>T</v>
      </c>
      <c r="E97" s="3">
        <v>29</v>
      </c>
      <c r="F97" s="3" t="str">
        <f>IFERROR(MID(VLOOKUP($B97,Seqs!$A:$B,2,0),G97,1),"")</f>
        <v>N</v>
      </c>
      <c r="G97" s="3">
        <v>60</v>
      </c>
      <c r="H97" s="3" t="str">
        <f>IFERROR(MID(VLOOKUP($B97,Seqs!$A:$B,2,0),I97,1),"")</f>
        <v>R</v>
      </c>
      <c r="I97" s="23">
        <v>61</v>
      </c>
      <c r="J97" s="3" t="str">
        <f>IFERROR(MID(VLOOKUP($B97,Seqs!$A:$B,2,0),K97,1),"")</f>
        <v>Q</v>
      </c>
      <c r="K97" s="23">
        <v>64</v>
      </c>
      <c r="L97" s="3" t="str">
        <f>IFERROR(MID(VLOOKUP($B97,Seqs!$A:$B,2,0),M97,1),"")</f>
        <v>T</v>
      </c>
      <c r="M97" s="3">
        <v>65</v>
      </c>
      <c r="N97" s="3" t="str">
        <f>IFERROR(MID(VLOOKUP($B97,Seqs!$A:$B,2,0),O97,1),"")</f>
        <v>G</v>
      </c>
      <c r="O97" s="3">
        <v>96</v>
      </c>
      <c r="P97" s="3" t="str">
        <f>IFERROR(MID(VLOOKUP($B97,Seqs!$A:$B,2,0),Q97,1),"")</f>
        <v>Y</v>
      </c>
      <c r="Q97" s="3">
        <v>97</v>
      </c>
      <c r="R97" s="3" t="str">
        <f>IFERROR(MID(VLOOKUP($B97,Seqs!$A:$B,2,0),S97,1),"")</f>
        <v>L</v>
      </c>
      <c r="S97" s="3">
        <v>100</v>
      </c>
      <c r="T97" s="3" t="str">
        <f>IFERROR(MID(VLOOKUP($B97,Seqs!$A:$B,2,0),U97,1),"")</f>
        <v>G</v>
      </c>
      <c r="U97" s="3">
        <v>101</v>
      </c>
      <c r="V97" s="3" t="str">
        <f>IFERROR(MID(VLOOKUP($B97,Seqs!$A:$B,2,0),W97,1),"")</f>
        <v>K</v>
      </c>
      <c r="W97" s="3">
        <v>136</v>
      </c>
      <c r="X97" s="3" t="str">
        <f>IFERROR(MID(VLOOKUP($B97,Seqs!$A:$B,2,0),Y97,1),"")</f>
        <v>P</v>
      </c>
      <c r="Y97" s="3">
        <v>137</v>
      </c>
      <c r="Z97" s="3" t="str">
        <f>IFERROR(MID(VLOOKUP($B97,Seqs!$A:$B,2,0),AA97,1),"")</f>
        <v>R</v>
      </c>
      <c r="AA97" s="3">
        <v>144</v>
      </c>
      <c r="AB97" s="3" t="str">
        <f>IFERROR(MID(VLOOKUP($B97,Seqs!$A:$B,2,0),AC97,1),"")</f>
        <v>T</v>
      </c>
      <c r="AC97" s="3">
        <v>145</v>
      </c>
      <c r="AD97" s="3" t="str">
        <f>IFERROR(MID(VLOOKUP($B97,Seqs!$A:$B,2,0),AE97,1),"")</f>
        <v>G</v>
      </c>
      <c r="AE97" s="3">
        <v>176</v>
      </c>
      <c r="AF97" s="3" t="str">
        <f>IFERROR(MID(VLOOKUP($B97,Seqs!$A:$B,2,0),AG97,1),"")</f>
        <v>C</v>
      </c>
      <c r="AG97" s="3">
        <v>185</v>
      </c>
      <c r="AH97" s="3" t="str">
        <f>IFERROR(MID(VLOOKUP($B97,Seqs!$A:$B,2,0),AI97,1),"")</f>
        <v>I</v>
      </c>
      <c r="AI97" s="3">
        <v>187</v>
      </c>
      <c r="AJ97" s="3" t="str">
        <f>IFERROR(MID(VLOOKUP($B97,Seqs!$A:$B,2,0),AK97,1),"")</f>
        <v>N</v>
      </c>
      <c r="AK97" s="3">
        <v>192</v>
      </c>
      <c r="AL97" s="3" t="str">
        <f>IFERROR(MID(VLOOKUP($B97,Seqs!$A:$B,2,0),AM97,1),"")</f>
        <v>R</v>
      </c>
      <c r="AM97" s="3">
        <v>223</v>
      </c>
      <c r="AN97" s="3" t="str">
        <f>IFERROR(MID(VLOOKUP($B97,Seqs!$A:$B,2,0),AO97,1),"")</f>
        <v>Q</v>
      </c>
      <c r="AO97" s="3">
        <v>390</v>
      </c>
      <c r="AP97" s="3" t="str">
        <f>IFERROR(MID(VLOOKUP($B97,Seqs!$A:$B,2,0),AQ97,1),"")</f>
        <v>C</v>
      </c>
      <c r="AQ97" s="3">
        <v>426</v>
      </c>
      <c r="AR97" s="3" t="str">
        <f>IFERROR(MID(VLOOKUP($B97,Seqs!$A:$B,2,0),AS97,1),"")</f>
        <v>P</v>
      </c>
      <c r="AS97" s="3">
        <v>431</v>
      </c>
      <c r="AT97" s="3" t="str">
        <f>IFERROR(MID(VLOOKUP($B97,Seqs!$A:$B,2,0),AU97,1),"")</f>
        <v>C</v>
      </c>
      <c r="AU97" s="3">
        <v>456</v>
      </c>
      <c r="AV97" s="3" t="str">
        <f>IFERROR(MID(VLOOKUP($B97,Seqs!$A:$B,2,0),AW97,1),"")</f>
        <v>N</v>
      </c>
      <c r="AW97" s="3">
        <v>457</v>
      </c>
      <c r="AX97" s="3" t="str">
        <f>IFERROR(MID(VLOOKUP($B97,Seqs!$A:$B,2,0),AY97,1),"")</f>
        <v>Q</v>
      </c>
      <c r="AY97" s="3">
        <v>471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ref="BB97" si="786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23">
        <f t="shared" ref="BC97" si="787">_xlfn.AGGREGATE(9,6,CH97:CS97)-_xlfn.AGGREGATE(9,6,BV97:CG97)+12</f>
        <v>261</v>
      </c>
      <c r="BD97" s="2" t="s">
        <v>1372</v>
      </c>
      <c r="BE97" s="3" t="s">
        <v>1370</v>
      </c>
      <c r="BF97" s="118">
        <v>3</v>
      </c>
      <c r="BG97" s="49" t="s">
        <v>1</v>
      </c>
      <c r="BH97" s="49" t="s">
        <v>1</v>
      </c>
      <c r="BI97" s="1"/>
      <c r="BJ97" s="70" t="s">
        <v>1283</v>
      </c>
      <c r="BK97" s="57" t="s">
        <v>1283</v>
      </c>
      <c r="BL97" s="57" t="s">
        <v>1283</v>
      </c>
      <c r="BM97" s="57" t="s">
        <v>1283</v>
      </c>
      <c r="BN97" s="57" t="s">
        <v>1283</v>
      </c>
      <c r="BO97" s="57" t="s">
        <v>1283</v>
      </c>
      <c r="BP97" s="57" t="s">
        <v>1283</v>
      </c>
      <c r="BQ97" s="57" t="s">
        <v>1283</v>
      </c>
      <c r="BR97" s="57" t="s">
        <v>1283</v>
      </c>
      <c r="BS97" s="57" t="s">
        <v>1283</v>
      </c>
      <c r="BT97" s="57" t="s">
        <v>1283</v>
      </c>
      <c r="BU97" s="57" t="s">
        <v>1283</v>
      </c>
      <c r="BV97" s="70">
        <f t="shared" ref="BV97" si="788">E97</f>
        <v>29</v>
      </c>
      <c r="BW97" s="71">
        <f t="shared" ref="BW97" si="789">I97</f>
        <v>61</v>
      </c>
      <c r="BX97" s="72">
        <f t="shared" ref="BX97" si="790">M97</f>
        <v>65</v>
      </c>
      <c r="BY97" s="71">
        <f t="shared" ref="BY97" si="791">Q97</f>
        <v>97</v>
      </c>
      <c r="BZ97" s="72">
        <f t="shared" ref="BZ97" si="792">U97</f>
        <v>101</v>
      </c>
      <c r="CA97" s="71">
        <f t="shared" ref="CA97" si="793">Y97</f>
        <v>137</v>
      </c>
      <c r="CB97" s="72">
        <f t="shared" ref="CB97" si="794">AC97</f>
        <v>145</v>
      </c>
      <c r="CC97" s="71">
        <f t="shared" ref="CC97" si="795">AG97</f>
        <v>185</v>
      </c>
      <c r="CD97" s="72">
        <f t="shared" ref="CD97" si="796">AK97</f>
        <v>192</v>
      </c>
      <c r="CE97" s="71">
        <f t="shared" ref="CE97" si="797">AO97</f>
        <v>390</v>
      </c>
      <c r="CF97" s="72">
        <f t="shared" ref="CF97" si="798">AS97</f>
        <v>431</v>
      </c>
      <c r="CG97" s="71">
        <f t="shared" ref="CG97" si="799">AW97</f>
        <v>457</v>
      </c>
      <c r="CH97" s="70">
        <f t="shared" ref="CH97" si="800">G97</f>
        <v>60</v>
      </c>
      <c r="CI97" s="71">
        <f t="shared" ref="CI97" si="801">K97</f>
        <v>64</v>
      </c>
      <c r="CJ97" s="72">
        <f t="shared" ref="CJ97" si="802">O97</f>
        <v>96</v>
      </c>
      <c r="CK97" s="72">
        <f t="shared" ref="CK97" si="803">S97</f>
        <v>100</v>
      </c>
      <c r="CL97" s="72">
        <f t="shared" ref="CL97" si="804">W97</f>
        <v>136</v>
      </c>
      <c r="CM97" s="72">
        <f t="shared" ref="CM97" si="805">AA97</f>
        <v>144</v>
      </c>
      <c r="CN97" s="72">
        <f t="shared" ref="CN97" si="806">AE97</f>
        <v>176</v>
      </c>
      <c r="CO97" s="72">
        <f t="shared" ref="CO97" si="807">AI97</f>
        <v>187</v>
      </c>
      <c r="CP97" s="72">
        <f t="shared" ref="CP97" si="808">AM97</f>
        <v>223</v>
      </c>
      <c r="CQ97" s="72">
        <f t="shared" ref="CQ97" si="809">AQ97</f>
        <v>426</v>
      </c>
      <c r="CR97" s="72">
        <f t="shared" ref="CR97" si="810">AU97</f>
        <v>456</v>
      </c>
      <c r="CS97" s="72">
        <f t="shared" ref="CS97" si="811">AY97</f>
        <v>471</v>
      </c>
      <c r="CT97" s="23">
        <f t="shared" ref="CT97" si="812">M97-K97</f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ref="A98:A99" si="813">CONCATENATE(B98,"_",C98)</f>
        <v>acm5_human__wt</v>
      </c>
      <c r="B98" s="3" t="s">
        <v>150</v>
      </c>
      <c r="C98" s="3" t="s">
        <v>100</v>
      </c>
      <c r="D98" s="3" t="str">
        <f>IFERROR(MID(VLOOKUP($B98,Seqs!$A:$B,2,0),E98,1),"")</f>
        <v>R</v>
      </c>
      <c r="E98" s="3">
        <v>26</v>
      </c>
      <c r="F98" s="3" t="str">
        <f>IFERROR(MID(VLOOKUP($B98,Seqs!$A:$B,2,0),G98,1),"")</f>
        <v>N</v>
      </c>
      <c r="G98" s="3">
        <v>58</v>
      </c>
      <c r="H98" s="3" t="str">
        <f>IFERROR(MID(VLOOKUP($B98,Seqs!$A:$B,2,0),I98,1),"")</f>
        <v>S</v>
      </c>
      <c r="I98" s="23">
        <v>59</v>
      </c>
      <c r="J98" s="3" t="str">
        <f>IFERROR(MID(VLOOKUP($B98,Seqs!$A:$B,2,0),K98,1),"")</f>
        <v>K</v>
      </c>
      <c r="K98" s="23">
        <v>62</v>
      </c>
      <c r="L98" s="3" t="str">
        <f>IFERROR(MID(VLOOKUP($B98,Seqs!$A:$B,2,0),M98,1),"")</f>
        <v>T</v>
      </c>
      <c r="M98" s="3">
        <v>63</v>
      </c>
      <c r="N98" s="3" t="str">
        <f>IFERROR(MID(VLOOKUP($B98,Seqs!$A:$B,2,0),O98,1),"")</f>
        <v>G</v>
      </c>
      <c r="O98" s="3">
        <v>94</v>
      </c>
      <c r="P98" s="3" t="str">
        <f>IFERROR(MID(VLOOKUP($B98,Seqs!$A:$B,2,0),Q98,1),"")</f>
        <v>R</v>
      </c>
      <c r="Q98" s="3">
        <v>95</v>
      </c>
      <c r="R98" s="3" t="str">
        <f>IFERROR(MID(VLOOKUP($B98,Seqs!$A:$B,2,0),S98,1),"")</f>
        <v>L</v>
      </c>
      <c r="S98" s="3">
        <v>98</v>
      </c>
      <c r="T98" s="3" t="str">
        <f>IFERROR(MID(VLOOKUP($B98,Seqs!$A:$B,2,0),U98,1),"")</f>
        <v>G</v>
      </c>
      <c r="U98" s="3">
        <v>99</v>
      </c>
      <c r="V98" s="3" t="str">
        <f>IFERROR(MID(VLOOKUP($B98,Seqs!$A:$B,2,0),W98,1),"")</f>
        <v>R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R</v>
      </c>
      <c r="AA98" s="3">
        <v>142</v>
      </c>
      <c r="AB98" s="3" t="str">
        <f>IFERROR(MID(VLOOKUP($B98,Seqs!$A:$B,2,0),AC98,1),"")</f>
        <v>T</v>
      </c>
      <c r="AC98" s="3">
        <v>143</v>
      </c>
      <c r="AD98" s="3" t="str">
        <f>IFERROR(MID(VLOOKUP($B98,Seqs!$A:$B,2,0),AE98,1),"")</f>
        <v>G</v>
      </c>
      <c r="AE98" s="3">
        <v>174</v>
      </c>
      <c r="AF98" s="3" t="str">
        <f>IFERROR(MID(VLOOKUP($B98,Seqs!$A:$B,2,0),AG98,1),"")</f>
        <v>C</v>
      </c>
      <c r="AG98" s="3">
        <v>183</v>
      </c>
      <c r="AH98" s="3" t="str">
        <f>IFERROR(MID(VLOOKUP($B98,Seqs!$A:$B,2,0),AI98,1),"")</f>
        <v>I</v>
      </c>
      <c r="AI98" s="3">
        <v>185</v>
      </c>
      <c r="AJ98" s="3" t="str">
        <f>IFERROR(MID(VLOOKUP($B98,Seqs!$A:$B,2,0),AK98,1),"")</f>
        <v>E</v>
      </c>
      <c r="AK98" s="3">
        <v>190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R</v>
      </c>
      <c r="AO98" s="3">
        <v>431</v>
      </c>
      <c r="AP98" s="3" t="str">
        <f>IFERROR(MID(VLOOKUP($B98,Seqs!$A:$B,2,0),AQ98,1),"")</f>
        <v>C</v>
      </c>
      <c r="AQ98" s="3">
        <v>468</v>
      </c>
      <c r="AR98" s="3" t="str">
        <f>IFERROR(MID(VLOOKUP($B98,Seqs!$A:$B,2,0),AS98,1),"")</f>
        <v>P</v>
      </c>
      <c r="AS98" s="3">
        <v>473</v>
      </c>
      <c r="AT98" s="3" t="str">
        <f>IFERROR(MID(VLOOKUP($B98,Seqs!$A:$B,2,0),AU98,1),"")</f>
        <v>C</v>
      </c>
      <c r="AU98" s="3">
        <v>498</v>
      </c>
      <c r="AV98" s="3" t="str">
        <f>IFERROR(MID(VLOOKUP($B98,Seqs!$A:$B,2,0),AW98,1),"")</f>
        <v>N</v>
      </c>
      <c r="AW98" s="3">
        <v>499</v>
      </c>
      <c r="AX98" s="3" t="str">
        <f>IFERROR(MID(VLOOKUP($B98,Seqs!$A:$B,2,0),AY98,1),"")</f>
        <v>L</v>
      </c>
      <c r="AY98" s="3">
        <v>511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ref="BB98:BB99" si="814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:BC99" si="815">_xlfn.AGGREGATE(9,6,CH98:CS98)-_xlfn.AGGREGATE(9,6,BV98:CG98)+12</f>
        <v>270</v>
      </c>
      <c r="BD98" s="2" t="s">
        <v>23</v>
      </c>
      <c r="BE98" s="3" t="s">
        <v>23</v>
      </c>
      <c r="BF98" s="118" t="s">
        <v>23</v>
      </c>
      <c r="BG98" s="49" t="s">
        <v>1373</v>
      </c>
      <c r="BH98" s="49" t="s">
        <v>1373</v>
      </c>
      <c r="BI98" s="1"/>
      <c r="BJ98" s="70" t="s">
        <v>1283</v>
      </c>
      <c r="BK98" s="57" t="s">
        <v>1283</v>
      </c>
      <c r="BL98" s="57" t="s">
        <v>1283</v>
      </c>
      <c r="BM98" s="57" t="s">
        <v>1283</v>
      </c>
      <c r="BN98" s="57" t="s">
        <v>1283</v>
      </c>
      <c r="BO98" s="57" t="s">
        <v>1283</v>
      </c>
      <c r="BP98" s="57" t="s">
        <v>1283</v>
      </c>
      <c r="BQ98" s="57" t="s">
        <v>1283</v>
      </c>
      <c r="BR98" s="57" t="s">
        <v>1283</v>
      </c>
      <c r="BS98" s="57" t="s">
        <v>1283</v>
      </c>
      <c r="BT98" s="57" t="s">
        <v>1283</v>
      </c>
      <c r="BU98" s="57" t="s">
        <v>1283</v>
      </c>
      <c r="BV98" s="70">
        <f t="shared" ref="BV98:BV99" si="816">E98</f>
        <v>26</v>
      </c>
      <c r="BW98" s="71">
        <f t="shared" ref="BW98:BW99" si="817">I98</f>
        <v>59</v>
      </c>
      <c r="BX98" s="72">
        <f t="shared" ref="BX98:BX99" si="818">M98</f>
        <v>63</v>
      </c>
      <c r="BY98" s="71">
        <f t="shared" ref="BY98:BY99" si="819">Q98</f>
        <v>95</v>
      </c>
      <c r="BZ98" s="72">
        <f t="shared" ref="BZ98:BZ99" si="820">U98</f>
        <v>99</v>
      </c>
      <c r="CA98" s="71">
        <f t="shared" ref="CA98:CA99" si="821">Y98</f>
        <v>135</v>
      </c>
      <c r="CB98" s="72">
        <f t="shared" ref="CB98:CB99" si="822">AC98</f>
        <v>143</v>
      </c>
      <c r="CC98" s="71">
        <f t="shared" ref="CC98:CC99" si="823">AG98</f>
        <v>183</v>
      </c>
      <c r="CD98" s="72">
        <f t="shared" ref="CD98:CD99" si="824">AK98</f>
        <v>190</v>
      </c>
      <c r="CE98" s="71">
        <f t="shared" ref="CE98:CE99" si="825">AO98</f>
        <v>431</v>
      </c>
      <c r="CF98" s="72">
        <f t="shared" ref="CF98:CF99" si="826">AS98</f>
        <v>473</v>
      </c>
      <c r="CG98" s="71">
        <f t="shared" ref="CG98:CG99" si="827">AW98</f>
        <v>499</v>
      </c>
      <c r="CH98" s="70">
        <f t="shared" ref="CH98:CH99" si="828">G98</f>
        <v>58</v>
      </c>
      <c r="CI98" s="71">
        <f t="shared" ref="CI98:CI99" si="829">K98</f>
        <v>62</v>
      </c>
      <c r="CJ98" s="72">
        <f t="shared" ref="CJ98:CJ99" si="830">O98</f>
        <v>94</v>
      </c>
      <c r="CK98" s="72">
        <f t="shared" ref="CK98:CK99" si="831">S98</f>
        <v>98</v>
      </c>
      <c r="CL98" s="72">
        <f t="shared" ref="CL98:CL99" si="832">W98</f>
        <v>134</v>
      </c>
      <c r="CM98" s="72">
        <f t="shared" ref="CM98:CM99" si="833">AA98</f>
        <v>142</v>
      </c>
      <c r="CN98" s="72">
        <f t="shared" ref="CN98:CN99" si="834">AE98</f>
        <v>174</v>
      </c>
      <c r="CO98" s="72">
        <f t="shared" ref="CO98:CO99" si="835">AI98</f>
        <v>185</v>
      </c>
      <c r="CP98" s="72">
        <f t="shared" ref="CP98:CP99" si="836">AM98</f>
        <v>230</v>
      </c>
      <c r="CQ98" s="72">
        <f t="shared" ref="CQ98:CQ99" si="837">AQ98</f>
        <v>468</v>
      </c>
      <c r="CR98" s="72">
        <f t="shared" ref="CR98:CR99" si="838">AU98</f>
        <v>498</v>
      </c>
      <c r="CS98" s="72">
        <f t="shared" ref="CS98:CS99" si="839">AY98</f>
        <v>511</v>
      </c>
      <c r="CT98" s="23">
        <f t="shared" ref="CT98:CT99" si="840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813"/>
        <v>acm5_human_6OL9</v>
      </c>
      <c r="B99" s="3" t="s">
        <v>150</v>
      </c>
      <c r="C99" s="3" t="s">
        <v>1619</v>
      </c>
      <c r="D99" s="3" t="str">
        <f>IFERROR(MID(VLOOKUP($B99,Seqs!$A:$B,2,0),E99,1),"")</f>
        <v>R</v>
      </c>
      <c r="E99" s="3">
        <v>26</v>
      </c>
      <c r="F99" s="3" t="str">
        <f>IFERROR(MID(VLOOKUP($B99,Seqs!$A:$B,2,0),G99,1),"")</f>
        <v>N</v>
      </c>
      <c r="G99" s="3">
        <v>58</v>
      </c>
      <c r="H99" s="3" t="str">
        <f>IFERROR(MID(VLOOKUP($B99,Seqs!$A:$B,2,0),I99,1),"")</f>
        <v>S</v>
      </c>
      <c r="I99" s="23">
        <v>59</v>
      </c>
      <c r="J99" s="3" t="str">
        <f>IFERROR(MID(VLOOKUP($B99,Seqs!$A:$B,2,0),K99,1),"")</f>
        <v>K</v>
      </c>
      <c r="K99" s="23">
        <v>62</v>
      </c>
      <c r="L99" s="3" t="str">
        <f>IFERROR(MID(VLOOKUP($B99,Seqs!$A:$B,2,0),M99,1),"")</f>
        <v>T</v>
      </c>
      <c r="M99" s="3">
        <v>63</v>
      </c>
      <c r="N99" s="3" t="str">
        <f>IFERROR(MID(VLOOKUP($B99,Seqs!$A:$B,2,0),O99,1),"")</f>
        <v>G</v>
      </c>
      <c r="O99" s="3">
        <v>94</v>
      </c>
      <c r="P99" s="3" t="str">
        <f>IFERROR(MID(VLOOKUP($B99,Seqs!$A:$B,2,0),Q99,1),"")</f>
        <v>R</v>
      </c>
      <c r="Q99" s="3">
        <v>95</v>
      </c>
      <c r="R99" s="3" t="str">
        <f>IFERROR(MID(VLOOKUP($B99,Seqs!$A:$B,2,0),S99,1),"")</f>
        <v>L</v>
      </c>
      <c r="S99" s="3">
        <v>98</v>
      </c>
      <c r="T99" s="3" t="str">
        <f>IFERROR(MID(VLOOKUP($B99,Seqs!$A:$B,2,0),U99,1),"")</f>
        <v>G</v>
      </c>
      <c r="U99" s="3">
        <v>99</v>
      </c>
      <c r="V99" s="3" t="str">
        <f>IFERROR(MID(VLOOKUP($B99,Seqs!$A:$B,2,0),W99,1),"")</f>
        <v>R</v>
      </c>
      <c r="W99" s="3">
        <v>134</v>
      </c>
      <c r="X99" s="3" t="str">
        <f>IFERROR(MID(VLOOKUP($B99,Seqs!$A:$B,2,0),Y99,1),"")</f>
        <v>P</v>
      </c>
      <c r="Y99" s="3">
        <v>135</v>
      </c>
      <c r="Z99" s="3" t="str">
        <f>IFERROR(MID(VLOOKUP($B99,Seqs!$A:$B,2,0),AA99,1),"")</f>
        <v>R</v>
      </c>
      <c r="AA99" s="3">
        <v>142</v>
      </c>
      <c r="AB99" s="3" t="str">
        <f>IFERROR(MID(VLOOKUP($B99,Seqs!$A:$B,2,0),AC99,1),"")</f>
        <v>T</v>
      </c>
      <c r="AC99" s="3">
        <v>143</v>
      </c>
      <c r="AD99" s="3" t="str">
        <f>IFERROR(MID(VLOOKUP($B99,Seqs!$A:$B,2,0),AE99,1),"")</f>
        <v>G</v>
      </c>
      <c r="AE99" s="3">
        <v>174</v>
      </c>
      <c r="AF99" s="3" t="str">
        <f>IFERROR(MID(VLOOKUP($B99,Seqs!$A:$B,2,0),AG99,1),"")</f>
        <v>C</v>
      </c>
      <c r="AG99" s="3">
        <v>183</v>
      </c>
      <c r="AH99" s="3" t="str">
        <f>IFERROR(MID(VLOOKUP($B99,Seqs!$A:$B,2,0),AI99,1),"")</f>
        <v>I</v>
      </c>
      <c r="AI99" s="3">
        <v>185</v>
      </c>
      <c r="AJ99" s="3" t="str">
        <f>IFERROR(MID(VLOOKUP($B99,Seqs!$A:$B,2,0),AK99,1),"")</f>
        <v>E</v>
      </c>
      <c r="AK99" s="3">
        <v>190</v>
      </c>
      <c r="AL99" s="3" t="str">
        <f>IFERROR(MID(VLOOKUP($B99,Seqs!$A:$B,2,0),AM99,1),"")</f>
        <v>T</v>
      </c>
      <c r="AM99" s="3">
        <v>220</v>
      </c>
      <c r="AN99" s="3" t="str">
        <f>IFERROR(MID(VLOOKUP($B99,Seqs!$A:$B,2,0),AO99,1),"")</f>
        <v>R</v>
      </c>
      <c r="AO99" s="3">
        <v>431</v>
      </c>
      <c r="AP99" s="3" t="str">
        <f>IFERROR(MID(VLOOKUP($B99,Seqs!$A:$B,2,0),AQ99,1),"")</f>
        <v>C</v>
      </c>
      <c r="AQ99" s="3">
        <v>468</v>
      </c>
      <c r="AR99" s="3" t="str">
        <f>IFERROR(MID(VLOOKUP($B99,Seqs!$A:$B,2,0),AS99,1),"")</f>
        <v>P</v>
      </c>
      <c r="AS99" s="3">
        <v>473</v>
      </c>
      <c r="AT99" s="3" t="str">
        <f>IFERROR(MID(VLOOKUP($B99,Seqs!$A:$B,2,0),AU99,1),"")</f>
        <v>C</v>
      </c>
      <c r="AU99" s="3">
        <v>498</v>
      </c>
      <c r="AV99" s="3" t="str">
        <f>IFERROR(MID(VLOOKUP($B99,Seqs!$A:$B,2,0),AW99,1),"")</f>
        <v>N</v>
      </c>
      <c r="AW99" s="3">
        <v>499</v>
      </c>
      <c r="AX99" s="3" t="str">
        <f>IFERROR(MID(VLOOKUP($B99,Seqs!$A:$B,2,0),AY99,1),"")</f>
        <v>L</v>
      </c>
      <c r="AY99" s="3">
        <v>511</v>
      </c>
      <c r="AZ99" s="77" t="str">
        <f>VLOOKUP(B99,Classification!A:D,2,0)</f>
        <v>A</v>
      </c>
      <c r="BA99" s="94" t="str">
        <f>VLOOKUP(B99,Classification!A:D,4,0)</f>
        <v>Acetylcholine(muscarinic)</v>
      </c>
      <c r="BB99" s="27" t="b">
        <f t="shared" si="814"/>
        <v>1</v>
      </c>
      <c r="BC99" s="23">
        <f t="shared" si="815"/>
        <v>260</v>
      </c>
      <c r="BD99" s="2" t="s">
        <v>1372</v>
      </c>
      <c r="BE99" s="3" t="s">
        <v>1370</v>
      </c>
      <c r="BF99" s="118">
        <v>2.54</v>
      </c>
      <c r="BG99" s="49" t="s">
        <v>1</v>
      </c>
      <c r="BH99" s="49" t="s">
        <v>1</v>
      </c>
      <c r="BI99" s="1"/>
      <c r="BJ99" s="70" t="s">
        <v>1283</v>
      </c>
      <c r="BK99" s="57" t="s">
        <v>1283</v>
      </c>
      <c r="BL99" s="57" t="s">
        <v>1283</v>
      </c>
      <c r="BM99" s="57" t="s">
        <v>1283</v>
      </c>
      <c r="BN99" s="57" t="s">
        <v>1283</v>
      </c>
      <c r="BO99" s="57" t="s">
        <v>1283</v>
      </c>
      <c r="BP99" s="57" t="s">
        <v>1283</v>
      </c>
      <c r="BQ99" s="57" t="s">
        <v>1283</v>
      </c>
      <c r="BR99" s="57" t="s">
        <v>1283</v>
      </c>
      <c r="BS99" s="57" t="s">
        <v>1283</v>
      </c>
      <c r="BT99" s="57" t="s">
        <v>1283</v>
      </c>
      <c r="BU99" s="57" t="s">
        <v>1283</v>
      </c>
      <c r="BV99" s="70">
        <f t="shared" si="816"/>
        <v>26</v>
      </c>
      <c r="BW99" s="71">
        <f t="shared" si="817"/>
        <v>59</v>
      </c>
      <c r="BX99" s="72">
        <f t="shared" si="818"/>
        <v>63</v>
      </c>
      <c r="BY99" s="71">
        <f t="shared" si="819"/>
        <v>95</v>
      </c>
      <c r="BZ99" s="72">
        <f t="shared" si="820"/>
        <v>99</v>
      </c>
      <c r="CA99" s="71">
        <f t="shared" si="821"/>
        <v>135</v>
      </c>
      <c r="CB99" s="72">
        <f t="shared" si="822"/>
        <v>143</v>
      </c>
      <c r="CC99" s="71">
        <f t="shared" si="823"/>
        <v>183</v>
      </c>
      <c r="CD99" s="72">
        <f t="shared" si="824"/>
        <v>190</v>
      </c>
      <c r="CE99" s="71">
        <f t="shared" si="825"/>
        <v>431</v>
      </c>
      <c r="CF99" s="72">
        <f t="shared" si="826"/>
        <v>473</v>
      </c>
      <c r="CG99" s="71">
        <f t="shared" si="827"/>
        <v>499</v>
      </c>
      <c r="CH99" s="70">
        <f t="shared" si="828"/>
        <v>58</v>
      </c>
      <c r="CI99" s="71">
        <f t="shared" si="829"/>
        <v>62</v>
      </c>
      <c r="CJ99" s="72">
        <f t="shared" si="830"/>
        <v>94</v>
      </c>
      <c r="CK99" s="72">
        <f t="shared" si="831"/>
        <v>98</v>
      </c>
      <c r="CL99" s="72">
        <f t="shared" si="832"/>
        <v>134</v>
      </c>
      <c r="CM99" s="72">
        <f t="shared" si="833"/>
        <v>142</v>
      </c>
      <c r="CN99" s="72">
        <f t="shared" si="834"/>
        <v>174</v>
      </c>
      <c r="CO99" s="72">
        <f t="shared" si="835"/>
        <v>185</v>
      </c>
      <c r="CP99" s="72">
        <f t="shared" si="836"/>
        <v>220</v>
      </c>
      <c r="CQ99" s="72">
        <f t="shared" si="837"/>
        <v>468</v>
      </c>
      <c r="CR99" s="72">
        <f t="shared" si="838"/>
        <v>498</v>
      </c>
      <c r="CS99" s="72">
        <f t="shared" si="839"/>
        <v>511</v>
      </c>
      <c r="CT99" s="23">
        <f t="shared" si="84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s="12" customFormat="1" x14ac:dyDescent="0.2">
      <c r="A100" s="9" t="str">
        <f t="shared" ref="A100:A101" si="841">CONCATENATE(B100,"_",C100)</f>
        <v>ada2a_human__wt</v>
      </c>
      <c r="B100" s="9" t="s">
        <v>155</v>
      </c>
      <c r="C100" s="9" t="s">
        <v>100</v>
      </c>
      <c r="D100" s="9" t="str">
        <f>IFERROR(MID(VLOOKUP($B100,Seqs!$A:$B,2,0),E100,1),"")</f>
        <v>T</v>
      </c>
      <c r="E100" s="9">
        <v>33</v>
      </c>
      <c r="F100" s="9" t="str">
        <f>IFERROR(MID(VLOOKUP($B100,Seqs!$A:$B,2,0),G100,1),"")</f>
        <v>S</v>
      </c>
      <c r="G100" s="9">
        <v>61</v>
      </c>
      <c r="H100" s="9" t="str">
        <f>IFERROR(MID(VLOOKUP($B100,Seqs!$A:$B,2,0),I100,1),"")</f>
        <v>R</v>
      </c>
      <c r="I100" s="109">
        <v>62</v>
      </c>
      <c r="J100" s="9" t="str">
        <f>IFERROR(MID(VLOOKUP($B100,Seqs!$A:$B,2,0),K100,1),"")</f>
        <v>K</v>
      </c>
      <c r="K100" s="109">
        <v>65</v>
      </c>
      <c r="L100" s="9" t="str">
        <f>IFERROR(MID(VLOOKUP($B100,Seqs!$A:$B,2,0),M100,1),"")</f>
        <v>A</v>
      </c>
      <c r="M100" s="9">
        <v>66</v>
      </c>
      <c r="N100" s="9" t="str">
        <f>IFERROR(MID(VLOOKUP($B100,Seqs!$A:$B,2,0),O100,1),"")</f>
        <v>G</v>
      </c>
      <c r="O100" s="9">
        <v>97</v>
      </c>
      <c r="P100" s="9" t="str">
        <f>IFERROR(MID(VLOOKUP($B100,Seqs!$A:$B,2,0),Q100,1),"")</f>
        <v>Y</v>
      </c>
      <c r="Q100" s="9">
        <v>98</v>
      </c>
      <c r="R100" s="9" t="str">
        <f>IFERROR(MID(VLOOKUP($B100,Seqs!$A:$B,2,0),S100,1),"")</f>
        <v>F</v>
      </c>
      <c r="S100" s="9">
        <v>101</v>
      </c>
      <c r="T100" s="9" t="str">
        <f>IFERROR(MID(VLOOKUP($B100,Seqs!$A:$B,2,0),U100,1),"")</f>
        <v>G</v>
      </c>
      <c r="U100" s="9">
        <v>102</v>
      </c>
      <c r="V100" s="9" t="str">
        <f>IFERROR(MID(VLOOKUP($B100,Seqs!$A:$B,2,0),W100,1),"")</f>
        <v>Q</v>
      </c>
      <c r="W100" s="9">
        <v>137</v>
      </c>
      <c r="X100" s="9" t="str">
        <f>IFERROR(MID(VLOOKUP($B100,Seqs!$A:$B,2,0),Y100,1),"")</f>
        <v>A</v>
      </c>
      <c r="Y100" s="9">
        <v>138</v>
      </c>
      <c r="Z100" s="9" t="str">
        <f>IFERROR(MID(VLOOKUP($B100,Seqs!$A:$B,2,0),AA100,1),"")</f>
        <v>R</v>
      </c>
      <c r="AA100" s="9">
        <v>145</v>
      </c>
      <c r="AB100" s="9" t="str">
        <f>IFERROR(MID(VLOOKUP($B100,Seqs!$A:$B,2,0),AC100,1),"")</f>
        <v>T</v>
      </c>
      <c r="AC100" s="9">
        <v>146</v>
      </c>
      <c r="AD100" s="9" t="str">
        <f>IFERROR(MID(VLOOKUP($B100,Seqs!$A:$B,2,0),AE100,1),"")</f>
        <v>I</v>
      </c>
      <c r="AE100" s="9">
        <v>170</v>
      </c>
      <c r="AF100" s="9" t="str">
        <f>IFERROR(MID(VLOOKUP($B100,Seqs!$A:$B,2,0),AG100,1),"")</f>
        <v>C</v>
      </c>
      <c r="AG100" s="9">
        <v>188</v>
      </c>
      <c r="AH100" s="9" t="str">
        <f>IFERROR(MID(VLOOKUP($B100,Seqs!$A:$B,2,0),AI100,1),"")</f>
        <v>I</v>
      </c>
      <c r="AI100" s="9">
        <v>190</v>
      </c>
      <c r="AJ100" s="9" t="str">
        <f>IFERROR(MID(VLOOKUP($B100,Seqs!$A:$B,2,0),AK100,1),"")</f>
        <v>Q</v>
      </c>
      <c r="AK100" s="9">
        <v>193</v>
      </c>
      <c r="AL100" s="9" t="str">
        <f>IFERROR(MID(VLOOKUP($B100,Seqs!$A:$B,2,0),AM100,1),"")</f>
        <v>R</v>
      </c>
      <c r="AM100" s="9">
        <v>233</v>
      </c>
      <c r="AN100" s="9" t="str">
        <f>IFERROR(MID(VLOOKUP($B100,Seqs!$A:$B,2,0),AO100,1),"")</f>
        <v>R</v>
      </c>
      <c r="AO100" s="9">
        <v>363</v>
      </c>
      <c r="AP100" s="9" t="str">
        <f>IFERROR(MID(VLOOKUP($B100,Seqs!$A:$B,2,0),AQ100,1),"")</f>
        <v>G</v>
      </c>
      <c r="AQ100" s="9">
        <v>400</v>
      </c>
      <c r="AR100" s="9" t="str">
        <f>IFERROR(MID(VLOOKUP($B100,Seqs!$A:$B,2,0),AS100,1),"")</f>
        <v>P</v>
      </c>
      <c r="AS100" s="9">
        <v>404</v>
      </c>
      <c r="AT100" s="9" t="str">
        <f>IFERROR(MID(VLOOKUP($B100,Seqs!$A:$B,2,0),AU100,1),"")</f>
        <v>F</v>
      </c>
      <c r="AU100" s="9">
        <v>429</v>
      </c>
      <c r="AV100" s="9" t="str">
        <f>IFERROR(MID(VLOOKUP($B100,Seqs!$A:$B,2,0),AW100,1),"")</f>
        <v>N</v>
      </c>
      <c r="AW100" s="9">
        <v>430</v>
      </c>
      <c r="AX100" s="9" t="str">
        <f>IFERROR(MID(VLOOKUP($B100,Seqs!$A:$B,2,0),AY100,1),"")</f>
        <v>R</v>
      </c>
      <c r="AY100" s="9">
        <v>443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:BB101" si="84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:BC101" si="843">_xlfn.AGGREGATE(9,6,CH100:CS100)-_xlfn.AGGREGATE(9,6,BV100:CG100)+12</f>
        <v>260</v>
      </c>
      <c r="BD100" s="40" t="s">
        <v>23</v>
      </c>
      <c r="BE100" s="9" t="s">
        <v>23</v>
      </c>
      <c r="BF100" s="119" t="s">
        <v>23</v>
      </c>
      <c r="BG100" s="51" t="s">
        <v>1</v>
      </c>
      <c r="BH100" s="51" t="s">
        <v>1</v>
      </c>
      <c r="BJ100" s="111" t="s">
        <v>1283</v>
      </c>
      <c r="BK100" s="112" t="s">
        <v>1283</v>
      </c>
      <c r="BL100" s="112" t="s">
        <v>1283</v>
      </c>
      <c r="BM100" s="112" t="s">
        <v>1283</v>
      </c>
      <c r="BN100" s="112" t="s">
        <v>1283</v>
      </c>
      <c r="BO100" s="112" t="s">
        <v>1283</v>
      </c>
      <c r="BP100" s="112" t="s">
        <v>1283</v>
      </c>
      <c r="BQ100" s="112" t="s">
        <v>1283</v>
      </c>
      <c r="BR100" s="112" t="s">
        <v>1283</v>
      </c>
      <c r="BS100" s="112" t="s">
        <v>1283</v>
      </c>
      <c r="BT100" s="112" t="s">
        <v>1283</v>
      </c>
      <c r="BU100" s="112" t="s">
        <v>1283</v>
      </c>
      <c r="BV100" s="111">
        <f t="shared" ref="BV100:BV101" si="844">E100</f>
        <v>33</v>
      </c>
      <c r="BW100" s="113">
        <f t="shared" ref="BW100:BW101" si="845">I100</f>
        <v>62</v>
      </c>
      <c r="BX100" s="114">
        <f t="shared" ref="BX100:BX101" si="846">M100</f>
        <v>66</v>
      </c>
      <c r="BY100" s="113">
        <f t="shared" ref="BY100:BY101" si="847">Q100</f>
        <v>98</v>
      </c>
      <c r="BZ100" s="114">
        <f t="shared" ref="BZ100:BZ101" si="848">U100</f>
        <v>102</v>
      </c>
      <c r="CA100" s="113">
        <f t="shared" ref="CA100:CA101" si="849">Y100</f>
        <v>138</v>
      </c>
      <c r="CB100" s="114">
        <f t="shared" ref="CB100:CB101" si="850">AC100</f>
        <v>146</v>
      </c>
      <c r="CC100" s="113">
        <f t="shared" ref="CC100:CC101" si="851">AG100</f>
        <v>188</v>
      </c>
      <c r="CD100" s="114">
        <f t="shared" ref="CD100:CD101" si="852">AK100</f>
        <v>193</v>
      </c>
      <c r="CE100" s="113">
        <f t="shared" ref="CE100:CE101" si="853">AO100</f>
        <v>363</v>
      </c>
      <c r="CF100" s="114">
        <f t="shared" ref="CF100:CF101" si="854">AS100</f>
        <v>404</v>
      </c>
      <c r="CG100" s="113">
        <f t="shared" ref="CG100:CG101" si="855">AW100</f>
        <v>430</v>
      </c>
      <c r="CH100" s="111">
        <f t="shared" ref="CH100:CH101" si="856">G100</f>
        <v>61</v>
      </c>
      <c r="CI100" s="113">
        <f t="shared" ref="CI100:CI101" si="857">K100</f>
        <v>65</v>
      </c>
      <c r="CJ100" s="114">
        <f t="shared" ref="CJ100:CJ101" si="858">O100</f>
        <v>97</v>
      </c>
      <c r="CK100" s="114">
        <f t="shared" ref="CK100:CK101" si="859">S100</f>
        <v>101</v>
      </c>
      <c r="CL100" s="114">
        <f t="shared" ref="CL100:CL101" si="860">W100</f>
        <v>137</v>
      </c>
      <c r="CM100" s="114">
        <f t="shared" ref="CM100:CM101" si="861">AA100</f>
        <v>145</v>
      </c>
      <c r="CN100" s="114">
        <f t="shared" ref="CN100:CN101" si="862">AE100</f>
        <v>170</v>
      </c>
      <c r="CO100" s="114">
        <f t="shared" ref="CO100:CO101" si="863">AI100</f>
        <v>190</v>
      </c>
      <c r="CP100" s="114">
        <f t="shared" ref="CP100:CP101" si="864">AM100</f>
        <v>233</v>
      </c>
      <c r="CQ100" s="114">
        <f t="shared" ref="CQ100:CQ101" si="865">AQ100</f>
        <v>400</v>
      </c>
      <c r="CR100" s="114">
        <f t="shared" ref="CR100:CR101" si="866">AU100</f>
        <v>429</v>
      </c>
      <c r="CS100" s="114">
        <f t="shared" ref="CS100:CS101" si="867">AY100</f>
        <v>443</v>
      </c>
      <c r="CT100" s="109">
        <f t="shared" ref="CT100:CT101" si="868">M100-K100</f>
        <v>1</v>
      </c>
    </row>
    <row r="101" spans="1:1029" s="12" customFormat="1" x14ac:dyDescent="0.2">
      <c r="A101" s="9" t="str">
        <f t="shared" si="841"/>
        <v>ada2a_human_6KUX</v>
      </c>
      <c r="B101" s="9" t="s">
        <v>155</v>
      </c>
      <c r="C101" s="9" t="s">
        <v>1675</v>
      </c>
      <c r="D101" s="9" t="str">
        <f>IFERROR(MID(VLOOKUP($B101,Seqs!$A:$B,2,0),E101,1),"")</f>
        <v>T</v>
      </c>
      <c r="E101" s="9">
        <v>33</v>
      </c>
      <c r="F101" s="9" t="str">
        <f>IFERROR(MID(VLOOKUP($B101,Seqs!$A:$B,2,0),G101,1),"")</f>
        <v>T</v>
      </c>
      <c r="G101" s="9">
        <v>60</v>
      </c>
      <c r="H101" s="9" t="str">
        <f>IFERROR(MID(VLOOKUP($B101,Seqs!$A:$B,2,0),I101,1),"")</f>
        <v/>
      </c>
      <c r="I101" s="109" t="s">
        <v>23</v>
      </c>
      <c r="J101" s="9" t="str">
        <f>IFERROR(MID(VLOOKUP($B101,Seqs!$A:$B,2,0),K101,1),"")</f>
        <v/>
      </c>
      <c r="K101" s="109" t="s">
        <v>23</v>
      </c>
      <c r="L101" s="9" t="str">
        <f>IFERROR(MID(VLOOKUP($B101,Seqs!$A:$B,2,0),M101,1),"")</f>
        <v>A</v>
      </c>
      <c r="M101" s="9">
        <v>66</v>
      </c>
      <c r="N101" s="9" t="str">
        <f>IFERROR(MID(VLOOKUP($B101,Seqs!$A:$B,2,0),O101,1),"")</f>
        <v>M</v>
      </c>
      <c r="O101" s="9">
        <v>96</v>
      </c>
      <c r="P101" s="9" t="str">
        <f>IFERROR(MID(VLOOKUP($B101,Seqs!$A:$B,2,0),Q101,1),"")</f>
        <v>Y</v>
      </c>
      <c r="Q101" s="9">
        <v>98</v>
      </c>
      <c r="R101" s="9" t="str">
        <f>IFERROR(MID(VLOOKUP($B101,Seqs!$A:$B,2,0),S101,1),"")</f>
        <v>F</v>
      </c>
      <c r="S101" s="9">
        <v>101</v>
      </c>
      <c r="T101" s="9" t="str">
        <f>IFERROR(MID(VLOOKUP($B101,Seqs!$A:$B,2,0),U101,1),"")</f>
        <v>G</v>
      </c>
      <c r="U101" s="9">
        <v>102</v>
      </c>
      <c r="V101" s="9" t="str">
        <f>IFERROR(MID(VLOOKUP($B101,Seqs!$A:$B,2,0),W101,1),"")</f>
        <v>Q</v>
      </c>
      <c r="W101" s="9">
        <v>137</v>
      </c>
      <c r="X101" s="9" t="str">
        <f>IFERROR(MID(VLOOKUP($B101,Seqs!$A:$B,2,0),Y101,1),"")</f>
        <v>A</v>
      </c>
      <c r="Y101" s="9">
        <v>138</v>
      </c>
      <c r="Z101" s="9" t="str">
        <f>IFERROR(MID(VLOOKUP($B101,Seqs!$A:$B,2,0),AA101,1),"")</f>
        <v>R</v>
      </c>
      <c r="AA101" s="9">
        <v>145</v>
      </c>
      <c r="AB101" s="9" t="str">
        <f>IFERROR(MID(VLOOKUP($B101,Seqs!$A:$B,2,0),AC101,1),"")</f>
        <v>T</v>
      </c>
      <c r="AC101" s="9">
        <v>146</v>
      </c>
      <c r="AD101" s="9" t="str">
        <f>IFERROR(MID(VLOOKUP($B101,Seqs!$A:$B,2,0),AE101,1),"")</f>
        <v>F</v>
      </c>
      <c r="AE101" s="9">
        <v>166</v>
      </c>
      <c r="AF101" s="9" t="str">
        <f>IFERROR(MID(VLOOKUP($B101,Seqs!$A:$B,2,0),AG101,1),"")</f>
        <v>C</v>
      </c>
      <c r="AG101" s="9">
        <v>188</v>
      </c>
      <c r="AH101" s="9" t="str">
        <f>IFERROR(MID(VLOOKUP($B101,Seqs!$A:$B,2,0),AI101,1),"")</f>
        <v>I</v>
      </c>
      <c r="AI101" s="9">
        <v>190</v>
      </c>
      <c r="AJ101" s="9" t="str">
        <f>IFERROR(MID(VLOOKUP($B101,Seqs!$A:$B,2,0),AK101,1),"")</f>
        <v>Y</v>
      </c>
      <c r="AK101" s="9">
        <v>196</v>
      </c>
      <c r="AL101" s="9" t="str">
        <f>IFERROR(MID(VLOOKUP($B101,Seqs!$A:$B,2,0),AM101,1),"")</f>
        <v>T</v>
      </c>
      <c r="AM101" s="9">
        <v>227</v>
      </c>
      <c r="AN101" s="9" t="str">
        <f>IFERROR(MID(VLOOKUP($B101,Seqs!$A:$B,2,0),AO101,1),"")</f>
        <v>N</v>
      </c>
      <c r="AO101" s="9">
        <v>367</v>
      </c>
      <c r="AP101" s="9" t="str">
        <f>IFERROR(MID(VLOOKUP($B101,Seqs!$A:$B,2,0),AQ101,1),"")</f>
        <v>G</v>
      </c>
      <c r="AQ101" s="9">
        <v>400</v>
      </c>
      <c r="AR101" s="9" t="str">
        <f>IFERROR(MID(VLOOKUP($B101,Seqs!$A:$B,2,0),AS101,1),"")</f>
        <v>P</v>
      </c>
      <c r="AS101" s="9">
        <v>404</v>
      </c>
      <c r="AT101" s="9" t="str">
        <f>IFERROR(MID(VLOOKUP($B101,Seqs!$A:$B,2,0),AU101,1),"")</f>
        <v>F</v>
      </c>
      <c r="AU101" s="9">
        <v>429</v>
      </c>
      <c r="AV101" s="9" t="str">
        <f>IFERROR(MID(VLOOKUP($B101,Seqs!$A:$B,2,0),AW101,1),"")</f>
        <v>H</v>
      </c>
      <c r="AW101" s="9">
        <v>431</v>
      </c>
      <c r="AX101" s="9" t="str">
        <f>IFERROR(MID(VLOOKUP($B101,Seqs!$A:$B,2,0),AY101,1),"")</f>
        <v>R</v>
      </c>
      <c r="AY101" s="9">
        <v>443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si="842"/>
        <v>1</v>
      </c>
      <c r="BC101" s="109">
        <f t="shared" si="843"/>
        <v>237</v>
      </c>
      <c r="BD101" s="40" t="s">
        <v>1372</v>
      </c>
      <c r="BE101" s="9" t="s">
        <v>1370</v>
      </c>
      <c r="BF101" s="119">
        <v>2.7</v>
      </c>
      <c r="BG101" s="51" t="s">
        <v>1</v>
      </c>
      <c r="BH101" s="51" t="s">
        <v>1</v>
      </c>
      <c r="BJ101" s="111" t="s">
        <v>1283</v>
      </c>
      <c r="BK101" s="112" t="s">
        <v>1283</v>
      </c>
      <c r="BL101" s="112" t="s">
        <v>1283</v>
      </c>
      <c r="BM101" s="112" t="s">
        <v>1283</v>
      </c>
      <c r="BN101" s="112" t="s">
        <v>1283</v>
      </c>
      <c r="BO101" s="112" t="s">
        <v>1283</v>
      </c>
      <c r="BP101" s="112" t="s">
        <v>1283</v>
      </c>
      <c r="BQ101" s="112" t="s">
        <v>1283</v>
      </c>
      <c r="BR101" s="112" t="s">
        <v>1283</v>
      </c>
      <c r="BS101" s="112" t="s">
        <v>1283</v>
      </c>
      <c r="BT101" s="112" t="s">
        <v>1283</v>
      </c>
      <c r="BU101" s="112" t="s">
        <v>1283</v>
      </c>
      <c r="BV101" s="111">
        <f t="shared" si="844"/>
        <v>33</v>
      </c>
      <c r="BW101" s="113" t="str">
        <f t="shared" si="845"/>
        <v>-</v>
      </c>
      <c r="BX101" s="114">
        <f t="shared" si="846"/>
        <v>66</v>
      </c>
      <c r="BY101" s="113">
        <f t="shared" si="847"/>
        <v>98</v>
      </c>
      <c r="BZ101" s="114">
        <f t="shared" si="848"/>
        <v>102</v>
      </c>
      <c r="CA101" s="113">
        <f t="shared" si="849"/>
        <v>138</v>
      </c>
      <c r="CB101" s="114">
        <f t="shared" si="850"/>
        <v>146</v>
      </c>
      <c r="CC101" s="113">
        <f t="shared" si="851"/>
        <v>188</v>
      </c>
      <c r="CD101" s="114">
        <f t="shared" si="852"/>
        <v>196</v>
      </c>
      <c r="CE101" s="113">
        <f t="shared" si="853"/>
        <v>367</v>
      </c>
      <c r="CF101" s="114">
        <f t="shared" si="854"/>
        <v>404</v>
      </c>
      <c r="CG101" s="113">
        <f t="shared" si="855"/>
        <v>431</v>
      </c>
      <c r="CH101" s="111">
        <f t="shared" si="856"/>
        <v>60</v>
      </c>
      <c r="CI101" s="113" t="str">
        <f t="shared" si="857"/>
        <v>-</v>
      </c>
      <c r="CJ101" s="114">
        <f t="shared" si="858"/>
        <v>96</v>
      </c>
      <c r="CK101" s="114">
        <f t="shared" si="859"/>
        <v>101</v>
      </c>
      <c r="CL101" s="114">
        <f t="shared" si="860"/>
        <v>137</v>
      </c>
      <c r="CM101" s="114">
        <f t="shared" si="861"/>
        <v>145</v>
      </c>
      <c r="CN101" s="114">
        <f t="shared" si="862"/>
        <v>166</v>
      </c>
      <c r="CO101" s="114">
        <f t="shared" si="863"/>
        <v>190</v>
      </c>
      <c r="CP101" s="114">
        <f t="shared" si="864"/>
        <v>227</v>
      </c>
      <c r="CQ101" s="114">
        <f t="shared" si="865"/>
        <v>400</v>
      </c>
      <c r="CR101" s="114">
        <f t="shared" si="866"/>
        <v>429</v>
      </c>
      <c r="CS101" s="114">
        <f t="shared" si="867"/>
        <v>443</v>
      </c>
      <c r="CT101" s="109" t="e">
        <f t="shared" si="868"/>
        <v>#VALUE!</v>
      </c>
    </row>
    <row r="102" spans="1:1029" s="12" customFormat="1" x14ac:dyDescent="0.2">
      <c r="A102" s="9" t="str">
        <f t="shared" ref="A102" si="869">CONCATENATE(B102,"_",C102)</f>
        <v>ada2a_human_6KUY</v>
      </c>
      <c r="B102" s="9" t="s">
        <v>155</v>
      </c>
      <c r="C102" s="9" t="s">
        <v>1676</v>
      </c>
      <c r="D102" s="9" t="str">
        <f>IFERROR(MID(VLOOKUP($B102,Seqs!$A:$B,2,0),E102,1),"")</f>
        <v>L</v>
      </c>
      <c r="E102" s="9">
        <v>36</v>
      </c>
      <c r="F102" s="9" t="str">
        <f>IFERROR(MID(VLOOKUP($B102,Seqs!$A:$B,2,0),G102,1),"")</f>
        <v>F</v>
      </c>
      <c r="G102" s="9">
        <v>59</v>
      </c>
      <c r="H102" s="9" t="str">
        <f>IFERROR(MID(VLOOKUP($B102,Seqs!$A:$B,2,0),I102,1),"")</f>
        <v/>
      </c>
      <c r="I102" s="109" t="s">
        <v>23</v>
      </c>
      <c r="J102" s="9" t="str">
        <f>IFERROR(MID(VLOOKUP($B102,Seqs!$A:$B,2,0),K102,1),"")</f>
        <v/>
      </c>
      <c r="K102" s="109" t="s">
        <v>23</v>
      </c>
      <c r="L102" s="9" t="str">
        <f>IFERROR(MID(VLOOKUP($B102,Seqs!$A:$B,2,0),M102,1),"")</f>
        <v>K</v>
      </c>
      <c r="M102" s="9">
        <v>65</v>
      </c>
      <c r="N102" s="9" t="str">
        <f>IFERROR(MID(VLOOKUP($B102,Seqs!$A:$B,2,0),O102,1),"")</f>
        <v>V</v>
      </c>
      <c r="O102" s="9">
        <v>95</v>
      </c>
      <c r="P102" s="9" t="str">
        <f>IFERROR(MID(VLOOKUP($B102,Seqs!$A:$B,2,0),Q102,1),"")</f>
        <v>Y</v>
      </c>
      <c r="Q102" s="9">
        <v>98</v>
      </c>
      <c r="R102" s="9" t="str">
        <f>IFERROR(MID(VLOOKUP($B102,Seqs!$A:$B,2,0),S102,1),"")</f>
        <v>F</v>
      </c>
      <c r="S102" s="9">
        <v>101</v>
      </c>
      <c r="T102" s="9" t="str">
        <f>IFERROR(MID(VLOOKUP($B102,Seqs!$A:$B,2,0),U102,1),"")</f>
        <v>G</v>
      </c>
      <c r="U102" s="9">
        <v>102</v>
      </c>
      <c r="V102" s="9" t="str">
        <f>IFERROR(MID(VLOOKUP($B102,Seqs!$A:$B,2,0),W102,1),"")</f>
        <v>Q</v>
      </c>
      <c r="W102" s="9">
        <v>137</v>
      </c>
      <c r="X102" s="9" t="str">
        <f>IFERROR(MID(VLOOKUP($B102,Seqs!$A:$B,2,0),Y102,1),"")</f>
        <v>A</v>
      </c>
      <c r="Y102" s="9">
        <v>138</v>
      </c>
      <c r="Z102" s="9" t="str">
        <f>IFERROR(MID(VLOOKUP($B102,Seqs!$A:$B,2,0),AA102,1),"")</f>
        <v>R</v>
      </c>
      <c r="AA102" s="9">
        <v>145</v>
      </c>
      <c r="AB102" s="9" t="str">
        <f>IFERROR(MID(VLOOKUP($B102,Seqs!$A:$B,2,0),AC102,1),"")</f>
        <v>T</v>
      </c>
      <c r="AC102" s="9">
        <v>146</v>
      </c>
      <c r="AD102" s="9" t="str">
        <f>IFERROR(MID(VLOOKUP($B102,Seqs!$A:$B,2,0),AE102,1),"")</f>
        <v>F</v>
      </c>
      <c r="AE102" s="9">
        <v>166</v>
      </c>
      <c r="AF102" s="9" t="str">
        <f>IFERROR(MID(VLOOKUP($B102,Seqs!$A:$B,2,0),AG102,1),"")</f>
        <v>C</v>
      </c>
      <c r="AG102" s="9">
        <v>188</v>
      </c>
      <c r="AH102" s="9" t="str">
        <f>IFERROR(MID(VLOOKUP($B102,Seqs!$A:$B,2,0),AI102,1),"")</f>
        <v>I</v>
      </c>
      <c r="AI102" s="9">
        <v>190</v>
      </c>
      <c r="AJ102" s="9" t="str">
        <f>IFERROR(MID(VLOOKUP($B102,Seqs!$A:$B,2,0),AK102,1),"")</f>
        <v>Q</v>
      </c>
      <c r="AK102" s="9">
        <v>193</v>
      </c>
      <c r="AL102" s="9" t="str">
        <f>IFERROR(MID(VLOOKUP($B102,Seqs!$A:$B,2,0),AM102,1),"")</f>
        <v>T</v>
      </c>
      <c r="AM102" s="9">
        <v>227</v>
      </c>
      <c r="AN102" s="9" t="str">
        <f>IFERROR(MID(VLOOKUP($B102,Seqs!$A:$B,2,0),AO102,1),"")</f>
        <v>N</v>
      </c>
      <c r="AO102" s="9">
        <v>367</v>
      </c>
      <c r="AP102" s="9" t="str">
        <f>IFERROR(MID(VLOOKUP($B102,Seqs!$A:$B,2,0),AQ102,1),"")</f>
        <v>G</v>
      </c>
      <c r="AQ102" s="9">
        <v>400</v>
      </c>
      <c r="AR102" s="9" t="str">
        <f>IFERROR(MID(VLOOKUP($B102,Seqs!$A:$B,2,0),AS102,1),"")</f>
        <v>L</v>
      </c>
      <c r="AS102" s="9">
        <v>407</v>
      </c>
      <c r="AT102" s="9" t="str">
        <f>IFERROR(MID(VLOOKUP($B102,Seqs!$A:$B,2,0),AU102,1),"")</f>
        <v>F</v>
      </c>
      <c r="AU102" s="9">
        <v>429</v>
      </c>
      <c r="AV102" s="9" t="str">
        <f>IFERROR(MID(VLOOKUP($B102,Seqs!$A:$B,2,0),AW102,1),"")</f>
        <v>N</v>
      </c>
      <c r="AW102" s="9">
        <v>430</v>
      </c>
      <c r="AX102" s="9" t="str">
        <f>IFERROR(MID(VLOOKUP($B102,Seqs!$A:$B,2,0),AY102,1),"")</f>
        <v>R</v>
      </c>
      <c r="AY102" s="9">
        <v>443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87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871">_xlfn.AGGREGATE(9,6,CH102:CS102)-_xlfn.AGGREGATE(9,6,BV102:CG102)+12</f>
        <v>234</v>
      </c>
      <c r="BD102" s="40" t="s">
        <v>23</v>
      </c>
      <c r="BE102" s="9" t="s">
        <v>1370</v>
      </c>
      <c r="BF102" s="119">
        <v>3.2</v>
      </c>
      <c r="BG102" s="51" t="s">
        <v>1</v>
      </c>
      <c r="BH102" s="51" t="s">
        <v>1</v>
      </c>
      <c r="BJ102" s="111" t="s">
        <v>1283</v>
      </c>
      <c r="BK102" s="112" t="s">
        <v>1283</v>
      </c>
      <c r="BL102" s="112" t="s">
        <v>1283</v>
      </c>
      <c r="BM102" s="112" t="s">
        <v>1283</v>
      </c>
      <c r="BN102" s="112" t="s">
        <v>1283</v>
      </c>
      <c r="BO102" s="112" t="s">
        <v>1283</v>
      </c>
      <c r="BP102" s="112" t="s">
        <v>1283</v>
      </c>
      <c r="BQ102" s="112" t="s">
        <v>1283</v>
      </c>
      <c r="BR102" s="112" t="s">
        <v>1283</v>
      </c>
      <c r="BS102" s="112" t="s">
        <v>1283</v>
      </c>
      <c r="BT102" s="112" t="s">
        <v>1283</v>
      </c>
      <c r="BU102" s="112" t="s">
        <v>1283</v>
      </c>
      <c r="BV102" s="111">
        <f t="shared" ref="BV102" si="872">E102</f>
        <v>36</v>
      </c>
      <c r="BW102" s="113" t="str">
        <f t="shared" ref="BW102" si="873">I102</f>
        <v>-</v>
      </c>
      <c r="BX102" s="114">
        <f t="shared" ref="BX102" si="874">M102</f>
        <v>65</v>
      </c>
      <c r="BY102" s="113">
        <f t="shared" ref="BY102" si="875">Q102</f>
        <v>98</v>
      </c>
      <c r="BZ102" s="114">
        <f t="shared" ref="BZ102" si="876">U102</f>
        <v>102</v>
      </c>
      <c r="CA102" s="113">
        <f t="shared" ref="CA102" si="877">Y102</f>
        <v>138</v>
      </c>
      <c r="CB102" s="114">
        <f t="shared" ref="CB102" si="878">AC102</f>
        <v>146</v>
      </c>
      <c r="CC102" s="113">
        <f t="shared" ref="CC102" si="879">AG102</f>
        <v>188</v>
      </c>
      <c r="CD102" s="114">
        <f t="shared" ref="CD102" si="880">AK102</f>
        <v>193</v>
      </c>
      <c r="CE102" s="113">
        <f t="shared" ref="CE102" si="881">AO102</f>
        <v>367</v>
      </c>
      <c r="CF102" s="114">
        <f t="shared" ref="CF102" si="882">AS102</f>
        <v>407</v>
      </c>
      <c r="CG102" s="113">
        <f t="shared" ref="CG102" si="883">AW102</f>
        <v>430</v>
      </c>
      <c r="CH102" s="111">
        <f t="shared" ref="CH102" si="884">G102</f>
        <v>59</v>
      </c>
      <c r="CI102" s="113" t="str">
        <f t="shared" ref="CI102" si="885">K102</f>
        <v>-</v>
      </c>
      <c r="CJ102" s="114">
        <f t="shared" ref="CJ102" si="886">O102</f>
        <v>95</v>
      </c>
      <c r="CK102" s="114">
        <f t="shared" ref="CK102" si="887">S102</f>
        <v>101</v>
      </c>
      <c r="CL102" s="114">
        <f t="shared" ref="CL102" si="888">W102</f>
        <v>137</v>
      </c>
      <c r="CM102" s="114">
        <f t="shared" ref="CM102" si="889">AA102</f>
        <v>145</v>
      </c>
      <c r="CN102" s="114">
        <f t="shared" ref="CN102" si="890">AE102</f>
        <v>166</v>
      </c>
      <c r="CO102" s="114">
        <f t="shared" ref="CO102" si="891">AI102</f>
        <v>190</v>
      </c>
      <c r="CP102" s="114">
        <f t="shared" ref="CP102" si="892">AM102</f>
        <v>227</v>
      </c>
      <c r="CQ102" s="114">
        <f t="shared" ref="CQ102" si="893">AQ102</f>
        <v>400</v>
      </c>
      <c r="CR102" s="114">
        <f t="shared" ref="CR102" si="894">AU102</f>
        <v>429</v>
      </c>
      <c r="CS102" s="114">
        <f t="shared" ref="CS102" si="895">AY102</f>
        <v>443</v>
      </c>
      <c r="CT102" s="109" t="e">
        <f t="shared" ref="CT102" si="896">M102-K102</f>
        <v>#VALUE!</v>
      </c>
    </row>
    <row r="103" spans="1:1029" s="12" customFormat="1" x14ac:dyDescent="0.2">
      <c r="A103" s="9" t="str">
        <f t="shared" ref="A103:A104" si="897">CONCATENATE(B103,"_",C103)</f>
        <v>ada2b_human__wt</v>
      </c>
      <c r="B103" s="9" t="s">
        <v>156</v>
      </c>
      <c r="C103" s="9" t="s">
        <v>100</v>
      </c>
      <c r="D103" s="9" t="str">
        <f>IFERROR(MID(VLOOKUP($B103,Seqs!$A:$B,2,0),E103,1),"")</f>
        <v>A</v>
      </c>
      <c r="E103" s="9">
        <v>11</v>
      </c>
      <c r="F103" s="9" t="str">
        <f>IFERROR(MID(VLOOKUP($B103,Seqs!$A:$B,2,0),G103,1),"")</f>
        <v>S</v>
      </c>
      <c r="G103" s="9">
        <v>40</v>
      </c>
      <c r="H103" s="9" t="str">
        <f>IFERROR(MID(VLOOKUP($B103,Seqs!$A:$B,2,0),I103,1),"")</f>
        <v>R</v>
      </c>
      <c r="I103" s="109">
        <v>41</v>
      </c>
      <c r="J103" s="9" t="str">
        <f>IFERROR(MID(VLOOKUP($B103,Seqs!$A:$B,2,0),K103,1),"")</f>
        <v>R</v>
      </c>
      <c r="K103" s="109">
        <v>44</v>
      </c>
      <c r="L103" s="9" t="str">
        <f>IFERROR(MID(VLOOKUP($B103,Seqs!$A:$B,2,0),M103,1),"")</f>
        <v>A</v>
      </c>
      <c r="M103" s="9">
        <v>45</v>
      </c>
      <c r="N103" s="9" t="str">
        <f>IFERROR(MID(VLOOKUP($B103,Seqs!$A:$B,2,0),O103,1),"")</f>
        <v>G</v>
      </c>
      <c r="O103" s="9">
        <v>76</v>
      </c>
      <c r="P103" s="9" t="str">
        <f>IFERROR(MID(VLOOKUP($B103,Seqs!$A:$B,2,0),Q103,1),"")</f>
        <v>Y</v>
      </c>
      <c r="Q103" s="9">
        <v>77</v>
      </c>
      <c r="R103" s="9" t="str">
        <f>IFERROR(MID(VLOOKUP($B103,Seqs!$A:$B,2,0),S103,1),"")</f>
        <v>F</v>
      </c>
      <c r="S103" s="9">
        <v>80</v>
      </c>
      <c r="T103" s="9" t="str">
        <f>IFERROR(MID(VLOOKUP($B103,Seqs!$A:$B,2,0),U103,1),"")</f>
        <v>R</v>
      </c>
      <c r="U103" s="9">
        <v>81</v>
      </c>
      <c r="V103" s="9" t="str">
        <f>IFERROR(MID(VLOOKUP($B103,Seqs!$A:$B,2,0),W103,1),"")</f>
        <v>R</v>
      </c>
      <c r="W103" s="9">
        <v>116</v>
      </c>
      <c r="X103" s="9" t="str">
        <f>IFERROR(MID(VLOOKUP($B103,Seqs!$A:$B,2,0),Y103,1),"")</f>
        <v>A</v>
      </c>
      <c r="Y103" s="9">
        <v>117</v>
      </c>
      <c r="Z103" s="9" t="str">
        <f>IFERROR(MID(VLOOKUP($B103,Seqs!$A:$B,2,0),AA103,1),"")</f>
        <v>R</v>
      </c>
      <c r="AA103" s="9">
        <v>124</v>
      </c>
      <c r="AB103" s="9" t="str">
        <f>IFERROR(MID(VLOOKUP($B103,Seqs!$A:$B,2,0),AC103,1),"")</f>
        <v>T</v>
      </c>
      <c r="AC103" s="9">
        <v>125</v>
      </c>
      <c r="AD103" s="9" t="str">
        <f>IFERROR(MID(VLOOKUP($B103,Seqs!$A:$B,2,0),AE103,1),"")</f>
        <v>I</v>
      </c>
      <c r="AE103" s="9">
        <v>149</v>
      </c>
      <c r="AF103" s="9" t="str">
        <f>IFERROR(MID(VLOOKUP($B103,Seqs!$A:$B,2,0),AG103,1),"")</f>
        <v>C</v>
      </c>
      <c r="AG103" s="9">
        <v>164</v>
      </c>
      <c r="AH103" s="9" t="str">
        <f>IFERROR(MID(VLOOKUP($B103,Seqs!$A:$B,2,0),AI103,1),"")</f>
        <v>L</v>
      </c>
      <c r="AI103" s="9">
        <v>166</v>
      </c>
      <c r="AJ103" s="9" t="str">
        <f>IFERROR(MID(VLOOKUP($B103,Seqs!$A:$B,2,0),AK103,1),"")</f>
        <v>E</v>
      </c>
      <c r="AK103" s="9">
        <v>169</v>
      </c>
      <c r="AL103" s="9" t="str">
        <f>IFERROR(MID(VLOOKUP($B103,Seqs!$A:$B,2,0),AM103,1),"")</f>
        <v>A</v>
      </c>
      <c r="AM103" s="9">
        <v>209</v>
      </c>
      <c r="AN103" s="9" t="str">
        <f>IFERROR(MID(VLOOKUP($B103,Seqs!$A:$B,2,0),AO103,1),"")</f>
        <v>R</v>
      </c>
      <c r="AO103" s="9">
        <v>357</v>
      </c>
      <c r="AP103" s="9" t="str">
        <f>IFERROR(MID(VLOOKUP($B103,Seqs!$A:$B,2,0),AQ103,1),"")</f>
        <v>C</v>
      </c>
      <c r="AQ103" s="9">
        <v>394</v>
      </c>
      <c r="AR103" s="9" t="str">
        <f>IFERROR(MID(VLOOKUP($B103,Seqs!$A:$B,2,0),AS103,1),"")</f>
        <v>P</v>
      </c>
      <c r="AS103" s="9">
        <v>401</v>
      </c>
      <c r="AT103" s="9" t="str">
        <f>IFERROR(MID(VLOOKUP($B103,Seqs!$A:$B,2,0),AU103,1),"")</f>
        <v>F</v>
      </c>
      <c r="AU103" s="9">
        <v>426</v>
      </c>
      <c r="AV103" s="9" t="str">
        <f>IFERROR(MID(VLOOKUP($B103,Seqs!$A:$B,2,0),AW103,1),"")</f>
        <v>N</v>
      </c>
      <c r="AW103" s="9">
        <v>427</v>
      </c>
      <c r="AX103" s="9" t="str">
        <f>IFERROR(MID(VLOOKUP($B103,Seqs!$A:$B,2,0),AY103,1),"")</f>
        <v>C</v>
      </c>
      <c r="AY103" s="9">
        <v>439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:BB104" si="89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:BC104" si="899">_xlfn.AGGREGATE(9,6,CH103:CS103)-_xlfn.AGGREGATE(9,6,BV103:CG103)+12</f>
        <v>260</v>
      </c>
      <c r="BD103" s="40" t="s">
        <v>23</v>
      </c>
      <c r="BE103" s="9" t="s">
        <v>23</v>
      </c>
      <c r="BF103" s="119" t="s">
        <v>23</v>
      </c>
      <c r="BG103" s="51" t="s">
        <v>1</v>
      </c>
      <c r="BH103" s="51" t="s">
        <v>1</v>
      </c>
      <c r="BJ103" s="111" t="s">
        <v>1283</v>
      </c>
      <c r="BK103" s="112" t="s">
        <v>1283</v>
      </c>
      <c r="BL103" s="112" t="s">
        <v>1283</v>
      </c>
      <c r="BM103" s="112" t="s">
        <v>1283</v>
      </c>
      <c r="BN103" s="112" t="s">
        <v>1283</v>
      </c>
      <c r="BO103" s="112" t="s">
        <v>1283</v>
      </c>
      <c r="BP103" s="112" t="s">
        <v>1283</v>
      </c>
      <c r="BQ103" s="112" t="s">
        <v>1283</v>
      </c>
      <c r="BR103" s="112" t="s">
        <v>1283</v>
      </c>
      <c r="BS103" s="112" t="s">
        <v>1283</v>
      </c>
      <c r="BT103" s="112" t="s">
        <v>1283</v>
      </c>
      <c r="BU103" s="112" t="s">
        <v>1283</v>
      </c>
      <c r="BV103" s="111">
        <f t="shared" ref="BV103:BV104" si="900">E103</f>
        <v>11</v>
      </c>
      <c r="BW103" s="113">
        <f t="shared" ref="BW103:BW104" si="901">I103</f>
        <v>41</v>
      </c>
      <c r="BX103" s="114">
        <f t="shared" ref="BX103:BX104" si="902">M103</f>
        <v>45</v>
      </c>
      <c r="BY103" s="113">
        <f t="shared" ref="BY103:BY104" si="903">Q103</f>
        <v>77</v>
      </c>
      <c r="BZ103" s="114">
        <f t="shared" ref="BZ103:BZ104" si="904">U103</f>
        <v>81</v>
      </c>
      <c r="CA103" s="113">
        <f t="shared" ref="CA103:CA104" si="905">Y103</f>
        <v>117</v>
      </c>
      <c r="CB103" s="114">
        <f t="shared" ref="CB103:CB104" si="906">AC103</f>
        <v>125</v>
      </c>
      <c r="CC103" s="113">
        <f t="shared" ref="CC103:CC104" si="907">AG103</f>
        <v>164</v>
      </c>
      <c r="CD103" s="114">
        <f t="shared" ref="CD103:CD104" si="908">AK103</f>
        <v>169</v>
      </c>
      <c r="CE103" s="113">
        <f t="shared" ref="CE103:CE104" si="909">AO103</f>
        <v>357</v>
      </c>
      <c r="CF103" s="114">
        <f t="shared" ref="CF103:CF104" si="910">AS103</f>
        <v>401</v>
      </c>
      <c r="CG103" s="113">
        <f t="shared" ref="CG103:CG104" si="911">AW103</f>
        <v>427</v>
      </c>
      <c r="CH103" s="111">
        <f t="shared" ref="CH103:CH104" si="912">G103</f>
        <v>40</v>
      </c>
      <c r="CI103" s="113">
        <f t="shared" ref="CI103:CI104" si="913">K103</f>
        <v>44</v>
      </c>
      <c r="CJ103" s="114">
        <f t="shared" ref="CJ103:CJ104" si="914">O103</f>
        <v>76</v>
      </c>
      <c r="CK103" s="114">
        <f t="shared" ref="CK103:CK104" si="915">S103</f>
        <v>80</v>
      </c>
      <c r="CL103" s="114">
        <f t="shared" ref="CL103:CL104" si="916">W103</f>
        <v>116</v>
      </c>
      <c r="CM103" s="114">
        <f t="shared" ref="CM103:CM104" si="917">AA103</f>
        <v>124</v>
      </c>
      <c r="CN103" s="114">
        <f t="shared" ref="CN103:CN104" si="918">AE103</f>
        <v>149</v>
      </c>
      <c r="CO103" s="114">
        <f t="shared" ref="CO103:CO104" si="919">AI103</f>
        <v>166</v>
      </c>
      <c r="CP103" s="114">
        <f t="shared" ref="CP103:CP104" si="920">AM103</f>
        <v>209</v>
      </c>
      <c r="CQ103" s="114">
        <f t="shared" ref="CQ103:CQ104" si="921">AQ103</f>
        <v>394</v>
      </c>
      <c r="CR103" s="114">
        <f t="shared" ref="CR103:CR104" si="922">AU103</f>
        <v>426</v>
      </c>
      <c r="CS103" s="114">
        <f t="shared" ref="CS103:CS104" si="923">AY103</f>
        <v>439</v>
      </c>
      <c r="CT103" s="109">
        <f t="shared" ref="CT103:CT104" si="924">M103-K103</f>
        <v>1</v>
      </c>
    </row>
    <row r="104" spans="1:1029" s="12" customFormat="1" x14ac:dyDescent="0.2">
      <c r="A104" s="9" t="str">
        <f t="shared" si="897"/>
        <v>ada2b_human_6K41</v>
      </c>
      <c r="B104" s="9" t="s">
        <v>156</v>
      </c>
      <c r="C104" s="9" t="s">
        <v>1677</v>
      </c>
      <c r="D104" s="9" t="str">
        <f>IFERROR(MID(VLOOKUP($B104,Seqs!$A:$B,2,0),E104,1),"")</f>
        <v>A</v>
      </c>
      <c r="E104" s="9">
        <v>11</v>
      </c>
      <c r="F104" s="9" t="str">
        <f>IFERROR(MID(VLOOKUP($B104,Seqs!$A:$B,2,0),G104,1),"")</f>
        <v>T</v>
      </c>
      <c r="G104" s="9">
        <v>39</v>
      </c>
      <c r="H104" s="9" t="str">
        <f>IFERROR(MID(VLOOKUP($B104,Seqs!$A:$B,2,0),I104,1),"")</f>
        <v>R</v>
      </c>
      <c r="I104" s="109">
        <v>41</v>
      </c>
      <c r="J104" s="9" t="str">
        <f>IFERROR(MID(VLOOKUP($B104,Seqs!$A:$B,2,0),K104,1),"")</f>
        <v>R</v>
      </c>
      <c r="K104" s="109">
        <v>44</v>
      </c>
      <c r="L104" s="9" t="str">
        <f>IFERROR(MID(VLOOKUP($B104,Seqs!$A:$B,2,0),M104,1),"")</f>
        <v>A</v>
      </c>
      <c r="M104" s="9">
        <v>45</v>
      </c>
      <c r="N104" s="9" t="str">
        <f>IFERROR(MID(VLOOKUP($B104,Seqs!$A:$B,2,0),O104,1),"")</f>
        <v>L</v>
      </c>
      <c r="O104" s="9">
        <v>74</v>
      </c>
      <c r="P104" s="9" t="str">
        <f>IFERROR(MID(VLOOKUP($B104,Seqs!$A:$B,2,0),Q104,1),"")</f>
        <v/>
      </c>
      <c r="Q104" s="9" t="s">
        <v>23</v>
      </c>
      <c r="R104" s="9" t="str">
        <f>IFERROR(MID(VLOOKUP($B104,Seqs!$A:$B,2,0),S104,1),"")</f>
        <v/>
      </c>
      <c r="S104" s="9" t="s">
        <v>23</v>
      </c>
      <c r="T104" s="9" t="str">
        <f>IFERROR(MID(VLOOKUP($B104,Seqs!$A:$B,2,0),U104,1),"")</f>
        <v>C</v>
      </c>
      <c r="U104" s="9">
        <v>85</v>
      </c>
      <c r="V104" s="9" t="str">
        <f>IFERROR(MID(VLOOKUP($B104,Seqs!$A:$B,2,0),W104,1),"")</f>
        <v>R</v>
      </c>
      <c r="W104" s="9">
        <v>116</v>
      </c>
      <c r="X104" s="9" t="str">
        <f>IFERROR(MID(VLOOKUP($B104,Seqs!$A:$B,2,0),Y104,1),"")</f>
        <v>A</v>
      </c>
      <c r="Y104" s="9">
        <v>117</v>
      </c>
      <c r="Z104" s="9" t="str">
        <f>IFERROR(MID(VLOOKUP($B104,Seqs!$A:$B,2,0),AA104,1),"")</f>
        <v>R</v>
      </c>
      <c r="AA104" s="9">
        <v>124</v>
      </c>
      <c r="AB104" s="9" t="str">
        <f>IFERROR(MID(VLOOKUP($B104,Seqs!$A:$B,2,0),AC104,1),"")</f>
        <v>T</v>
      </c>
      <c r="AC104" s="9">
        <v>125</v>
      </c>
      <c r="AD104" s="9" t="str">
        <f>IFERROR(MID(VLOOKUP($B104,Seqs!$A:$B,2,0),AE104,1),"")</f>
        <v>I</v>
      </c>
      <c r="AE104" s="9">
        <v>149</v>
      </c>
      <c r="AF104" s="9" t="str">
        <f>IFERROR(MID(VLOOKUP($B104,Seqs!$A:$B,2,0),AG104,1),"")</f>
        <v>C</v>
      </c>
      <c r="AG104" s="9">
        <v>164</v>
      </c>
      <c r="AH104" s="9" t="str">
        <f>IFERROR(MID(VLOOKUP($B104,Seqs!$A:$B,2,0),AI104,1),"")</f>
        <v>L</v>
      </c>
      <c r="AI104" s="9">
        <v>166</v>
      </c>
      <c r="AJ104" s="9" t="str">
        <f>IFERROR(MID(VLOOKUP($B104,Seqs!$A:$B,2,0),AK104,1),"")</f>
        <v>A</v>
      </c>
      <c r="AK104" s="9">
        <v>170</v>
      </c>
      <c r="AL104" s="9" t="str">
        <f>IFERROR(MID(VLOOKUP($B104,Seqs!$A:$B,2,0),AM104,1),"")</f>
        <v>N</v>
      </c>
      <c r="AM104" s="9">
        <v>203</v>
      </c>
      <c r="AN104" s="9" t="str">
        <f>IFERROR(MID(VLOOKUP($B104,Seqs!$A:$B,2,0),AO104,1),"")</f>
        <v>R</v>
      </c>
      <c r="AO104" s="9">
        <v>362</v>
      </c>
      <c r="AP104" s="9" t="str">
        <f>IFERROR(MID(VLOOKUP($B104,Seqs!$A:$B,2,0),AQ104,1),"")</f>
        <v>I</v>
      </c>
      <c r="AQ104" s="9">
        <v>393</v>
      </c>
      <c r="AR104" s="9" t="str">
        <f>IFERROR(MID(VLOOKUP($B104,Seqs!$A:$B,2,0),AS104,1),"")</f>
        <v>Q</v>
      </c>
      <c r="AS104" s="9">
        <v>406</v>
      </c>
      <c r="AT104" s="9" t="str">
        <f>IFERROR(MID(VLOOKUP($B104,Seqs!$A:$B,2,0),AU104,1),"")</f>
        <v>Q</v>
      </c>
      <c r="AU104" s="9">
        <v>428</v>
      </c>
      <c r="AV104" s="9" t="str">
        <f>IFERROR(MID(VLOOKUP($B104,Seqs!$A:$B,2,0),AW104,1),"")</f>
        <v>F</v>
      </c>
      <c r="AW104" s="9">
        <v>430</v>
      </c>
      <c r="AX104" s="9" t="str">
        <f>IFERROR(MID(VLOOKUP($B104,Seqs!$A:$B,2,0),AY104,1),"")</f>
        <v>T</v>
      </c>
      <c r="AY104" s="9">
        <v>445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si="898"/>
        <v>1</v>
      </c>
      <c r="BC104" s="109">
        <f t="shared" si="899"/>
        <v>237</v>
      </c>
      <c r="BD104" s="40" t="s">
        <v>1371</v>
      </c>
      <c r="BE104" s="9" t="s">
        <v>1287</v>
      </c>
      <c r="BF104" s="119">
        <v>2.9</v>
      </c>
      <c r="BG104" s="51" t="s">
        <v>1418</v>
      </c>
      <c r="BH104" s="51" t="s">
        <v>1418</v>
      </c>
      <c r="BJ104" s="111" t="s">
        <v>1283</v>
      </c>
      <c r="BK104" s="112" t="s">
        <v>1283</v>
      </c>
      <c r="BL104" s="112" t="s">
        <v>1283</v>
      </c>
      <c r="BM104" s="112" t="s">
        <v>1283</v>
      </c>
      <c r="BN104" s="112" t="s">
        <v>1283</v>
      </c>
      <c r="BO104" s="112" t="s">
        <v>1283</v>
      </c>
      <c r="BP104" s="112" t="s">
        <v>1283</v>
      </c>
      <c r="BQ104" s="112" t="s">
        <v>1283</v>
      </c>
      <c r="BR104" s="112" t="s">
        <v>1283</v>
      </c>
      <c r="BS104" s="112" t="s">
        <v>1283</v>
      </c>
      <c r="BT104" s="112" t="s">
        <v>1283</v>
      </c>
      <c r="BU104" s="112" t="s">
        <v>1283</v>
      </c>
      <c r="BV104" s="111">
        <f t="shared" si="900"/>
        <v>11</v>
      </c>
      <c r="BW104" s="113">
        <f t="shared" si="901"/>
        <v>41</v>
      </c>
      <c r="BX104" s="114">
        <f t="shared" si="902"/>
        <v>45</v>
      </c>
      <c r="BY104" s="113" t="str">
        <f t="shared" si="903"/>
        <v>-</v>
      </c>
      <c r="BZ104" s="114">
        <f t="shared" si="904"/>
        <v>85</v>
      </c>
      <c r="CA104" s="113">
        <f t="shared" si="905"/>
        <v>117</v>
      </c>
      <c r="CB104" s="114">
        <f t="shared" si="906"/>
        <v>125</v>
      </c>
      <c r="CC104" s="113">
        <f t="shared" si="907"/>
        <v>164</v>
      </c>
      <c r="CD104" s="114">
        <f t="shared" si="908"/>
        <v>170</v>
      </c>
      <c r="CE104" s="113">
        <f t="shared" si="909"/>
        <v>362</v>
      </c>
      <c r="CF104" s="114">
        <f t="shared" si="910"/>
        <v>406</v>
      </c>
      <c r="CG104" s="113">
        <f t="shared" si="911"/>
        <v>430</v>
      </c>
      <c r="CH104" s="111">
        <f t="shared" si="912"/>
        <v>39</v>
      </c>
      <c r="CI104" s="113">
        <f t="shared" si="913"/>
        <v>44</v>
      </c>
      <c r="CJ104" s="114">
        <f t="shared" si="914"/>
        <v>74</v>
      </c>
      <c r="CK104" s="114" t="str">
        <f t="shared" si="915"/>
        <v>-</v>
      </c>
      <c r="CL104" s="114">
        <f t="shared" si="916"/>
        <v>116</v>
      </c>
      <c r="CM104" s="114">
        <f t="shared" si="917"/>
        <v>124</v>
      </c>
      <c r="CN104" s="114">
        <f t="shared" si="918"/>
        <v>149</v>
      </c>
      <c r="CO104" s="114">
        <f t="shared" si="919"/>
        <v>166</v>
      </c>
      <c r="CP104" s="114">
        <f t="shared" si="920"/>
        <v>203</v>
      </c>
      <c r="CQ104" s="114">
        <f t="shared" si="921"/>
        <v>393</v>
      </c>
      <c r="CR104" s="114">
        <f t="shared" si="922"/>
        <v>428</v>
      </c>
      <c r="CS104" s="114">
        <f t="shared" si="923"/>
        <v>445</v>
      </c>
      <c r="CT104" s="109">
        <f t="shared" si="924"/>
        <v>1</v>
      </c>
    </row>
    <row r="105" spans="1:1029" s="12" customFormat="1" x14ac:dyDescent="0.2">
      <c r="A105" s="9" t="str">
        <f t="shared" ref="A105" si="925">CONCATENATE(B105,"_",C105)</f>
        <v>ada2b_human_6K42</v>
      </c>
      <c r="B105" s="9" t="s">
        <v>156</v>
      </c>
      <c r="C105" s="9" t="s">
        <v>1678</v>
      </c>
      <c r="D105" s="9" t="str">
        <f>IFERROR(MID(VLOOKUP($B105,Seqs!$A:$B,2,0),E105,1),"")</f>
        <v>T</v>
      </c>
      <c r="E105" s="9">
        <v>12</v>
      </c>
      <c r="F105" s="9" t="str">
        <f>IFERROR(MID(VLOOKUP($B105,Seqs!$A:$B,2,0),G105,1),"")</f>
        <v>T</v>
      </c>
      <c r="G105" s="9">
        <v>39</v>
      </c>
      <c r="H105" s="9" t="str">
        <f>IFERROR(MID(VLOOKUP($B105,Seqs!$A:$B,2,0),I105,1),"")</f>
        <v>R</v>
      </c>
      <c r="I105" s="109">
        <v>41</v>
      </c>
      <c r="J105" s="9" t="str">
        <f>IFERROR(MID(VLOOKUP($B105,Seqs!$A:$B,2,0),K105,1),"")</f>
        <v>R</v>
      </c>
      <c r="K105" s="109">
        <v>44</v>
      </c>
      <c r="L105" s="9" t="str">
        <f>IFERROR(MID(VLOOKUP($B105,Seqs!$A:$B,2,0),M105,1),"")</f>
        <v>N</v>
      </c>
      <c r="M105" s="9">
        <v>48</v>
      </c>
      <c r="N105" s="9" t="str">
        <f>IFERROR(MID(VLOOKUP($B105,Seqs!$A:$B,2,0),O105,1),"")</f>
        <v>L</v>
      </c>
      <c r="O105" s="9">
        <v>74</v>
      </c>
      <c r="P105" s="9" t="str">
        <f>IFERROR(MID(VLOOKUP($B105,Seqs!$A:$B,2,0),Q105,1),"")</f>
        <v/>
      </c>
      <c r="Q105" s="9" t="s">
        <v>23</v>
      </c>
      <c r="R105" s="9" t="str">
        <f>IFERROR(MID(VLOOKUP($B105,Seqs!$A:$B,2,0),S105,1),"")</f>
        <v/>
      </c>
      <c r="S105" s="9" t="s">
        <v>23</v>
      </c>
      <c r="T105" s="9" t="str">
        <f>IFERROR(MID(VLOOKUP($B105,Seqs!$A:$B,2,0),U105,1),"")</f>
        <v>W</v>
      </c>
      <c r="U105" s="9">
        <v>84</v>
      </c>
      <c r="V105" s="9" t="str">
        <f>IFERROR(MID(VLOOKUP($B105,Seqs!$A:$B,2,0),W105,1),"")</f>
        <v>S</v>
      </c>
      <c r="W105" s="9">
        <v>115</v>
      </c>
      <c r="X105" s="9" t="str">
        <f>IFERROR(MID(VLOOKUP($B105,Seqs!$A:$B,2,0),Y105,1),"")</f>
        <v>A</v>
      </c>
      <c r="Y105" s="9">
        <v>117</v>
      </c>
      <c r="Z105" s="9" t="str">
        <f>IFERROR(MID(VLOOKUP($B105,Seqs!$A:$B,2,0),AA105,1),"")</f>
        <v>R</v>
      </c>
      <c r="AA105" s="9">
        <v>124</v>
      </c>
      <c r="AB105" s="9" t="str">
        <f>IFERROR(MID(VLOOKUP($B105,Seqs!$A:$B,2,0),AC105,1),"")</f>
        <v>T</v>
      </c>
      <c r="AC105" s="9">
        <v>125</v>
      </c>
      <c r="AD105" s="9" t="str">
        <f>IFERROR(MID(VLOOKUP($B105,Seqs!$A:$B,2,0),AE105,1),"")</f>
        <v>I</v>
      </c>
      <c r="AE105" s="9">
        <v>149</v>
      </c>
      <c r="AF105" s="9" t="str">
        <f>IFERROR(MID(VLOOKUP($B105,Seqs!$A:$B,2,0),AG105,1),"")</f>
        <v>C</v>
      </c>
      <c r="AG105" s="9">
        <v>164</v>
      </c>
      <c r="AH105" s="9" t="str">
        <f>IFERROR(MID(VLOOKUP($B105,Seqs!$A:$B,2,0),AI105,1),"")</f>
        <v>L</v>
      </c>
      <c r="AI105" s="9">
        <v>166</v>
      </c>
      <c r="AJ105" s="9" t="str">
        <f>IFERROR(MID(VLOOKUP($B105,Seqs!$A:$B,2,0),AK105,1),"")</f>
        <v>E</v>
      </c>
      <c r="AK105" s="9">
        <v>169</v>
      </c>
      <c r="AL105" s="9" t="str">
        <f>IFERROR(MID(VLOOKUP($B105,Seqs!$A:$B,2,0),AM105,1),"")</f>
        <v>N</v>
      </c>
      <c r="AM105" s="9">
        <v>203</v>
      </c>
      <c r="AN105" s="9" t="str">
        <f>IFERROR(MID(VLOOKUP($B105,Seqs!$A:$B,2,0),AO105,1),"")</f>
        <v>Q</v>
      </c>
      <c r="AO105" s="9">
        <v>359</v>
      </c>
      <c r="AP105" s="9" t="str">
        <f>IFERROR(MID(VLOOKUP($B105,Seqs!$A:$B,2,0),AQ105,1),"")</f>
        <v>H</v>
      </c>
      <c r="AQ105" s="9">
        <v>397</v>
      </c>
      <c r="AR105" s="9" t="str">
        <f>IFERROR(MID(VLOOKUP($B105,Seqs!$A:$B,2,0),AS105,1),"")</f>
        <v>F</v>
      </c>
      <c r="AS105" s="9">
        <v>407</v>
      </c>
      <c r="AT105" s="9" t="str">
        <f>IFERROR(MID(VLOOKUP($B105,Seqs!$A:$B,2,0),AU105,1),"")</f>
        <v>Q</v>
      </c>
      <c r="AU105" s="9">
        <v>428</v>
      </c>
      <c r="AV105" s="9" t="str">
        <f>IFERROR(MID(VLOOKUP($B105,Seqs!$A:$B,2,0),AW105,1),"")</f>
        <v>F</v>
      </c>
      <c r="AW105" s="9">
        <v>430</v>
      </c>
      <c r="AX105" s="9" t="str">
        <f>IFERROR(MID(VLOOKUP($B105,Seqs!$A:$B,2,0),AY105,1),"")</f>
        <v>P</v>
      </c>
      <c r="AY105" s="9">
        <v>441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926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927">_xlfn.AGGREGATE(9,6,CH105:CS105)-_xlfn.AGGREGATE(9,6,BV105:CG105)+12</f>
        <v>236</v>
      </c>
      <c r="BD105" s="40" t="s">
        <v>23</v>
      </c>
      <c r="BE105" s="9" t="s">
        <v>1287</v>
      </c>
      <c r="BF105" s="119">
        <v>4.0999999999999996</v>
      </c>
      <c r="BG105" s="51" t="s">
        <v>1418</v>
      </c>
      <c r="BH105" s="51" t="s">
        <v>1418</v>
      </c>
      <c r="BJ105" s="111" t="s">
        <v>1283</v>
      </c>
      <c r="BK105" s="112" t="s">
        <v>1283</v>
      </c>
      <c r="BL105" s="112" t="s">
        <v>1283</v>
      </c>
      <c r="BM105" s="112" t="s">
        <v>1283</v>
      </c>
      <c r="BN105" s="112" t="s">
        <v>1283</v>
      </c>
      <c r="BO105" s="112" t="s">
        <v>1283</v>
      </c>
      <c r="BP105" s="112" t="s">
        <v>1283</v>
      </c>
      <c r="BQ105" s="112" t="s">
        <v>1283</v>
      </c>
      <c r="BR105" s="112" t="s">
        <v>1283</v>
      </c>
      <c r="BS105" s="112" t="s">
        <v>1283</v>
      </c>
      <c r="BT105" s="112" t="s">
        <v>1283</v>
      </c>
      <c r="BU105" s="112" t="s">
        <v>1283</v>
      </c>
      <c r="BV105" s="111">
        <f t="shared" ref="BV105" si="928">E105</f>
        <v>12</v>
      </c>
      <c r="BW105" s="113">
        <f t="shared" ref="BW105" si="929">I105</f>
        <v>41</v>
      </c>
      <c r="BX105" s="114">
        <f t="shared" ref="BX105" si="930">M105</f>
        <v>48</v>
      </c>
      <c r="BY105" s="113" t="str">
        <f t="shared" ref="BY105" si="931">Q105</f>
        <v>-</v>
      </c>
      <c r="BZ105" s="114">
        <f t="shared" ref="BZ105" si="932">U105</f>
        <v>84</v>
      </c>
      <c r="CA105" s="113">
        <f t="shared" ref="CA105" si="933">Y105</f>
        <v>117</v>
      </c>
      <c r="CB105" s="114">
        <f t="shared" ref="CB105" si="934">AC105</f>
        <v>125</v>
      </c>
      <c r="CC105" s="113">
        <f t="shared" ref="CC105" si="935">AG105</f>
        <v>164</v>
      </c>
      <c r="CD105" s="114">
        <f t="shared" ref="CD105" si="936">AK105</f>
        <v>169</v>
      </c>
      <c r="CE105" s="113">
        <f t="shared" ref="CE105" si="937">AO105</f>
        <v>359</v>
      </c>
      <c r="CF105" s="114">
        <f t="shared" ref="CF105" si="938">AS105</f>
        <v>407</v>
      </c>
      <c r="CG105" s="113">
        <f t="shared" ref="CG105" si="939">AW105</f>
        <v>430</v>
      </c>
      <c r="CH105" s="111">
        <f t="shared" ref="CH105" si="940">G105</f>
        <v>39</v>
      </c>
      <c r="CI105" s="113">
        <f t="shared" ref="CI105" si="941">K105</f>
        <v>44</v>
      </c>
      <c r="CJ105" s="114">
        <f t="shared" ref="CJ105" si="942">O105</f>
        <v>74</v>
      </c>
      <c r="CK105" s="114" t="str">
        <f t="shared" ref="CK105" si="943">S105</f>
        <v>-</v>
      </c>
      <c r="CL105" s="114">
        <f t="shared" ref="CL105" si="944">W105</f>
        <v>115</v>
      </c>
      <c r="CM105" s="114">
        <f t="shared" ref="CM105" si="945">AA105</f>
        <v>124</v>
      </c>
      <c r="CN105" s="114">
        <f t="shared" ref="CN105" si="946">AE105</f>
        <v>149</v>
      </c>
      <c r="CO105" s="114">
        <f t="shared" ref="CO105" si="947">AI105</f>
        <v>166</v>
      </c>
      <c r="CP105" s="114">
        <f t="shared" ref="CP105" si="948">AM105</f>
        <v>203</v>
      </c>
      <c r="CQ105" s="114">
        <f t="shared" ref="CQ105" si="949">AQ105</f>
        <v>397</v>
      </c>
      <c r="CR105" s="114">
        <f t="shared" ref="CR105" si="950">AU105</f>
        <v>428</v>
      </c>
      <c r="CS105" s="114">
        <f t="shared" ref="CS105" si="951">AY105</f>
        <v>441</v>
      </c>
      <c r="CT105" s="109">
        <f t="shared" ref="CT105" si="952">M105-K105</f>
        <v>4</v>
      </c>
    </row>
    <row r="106" spans="1:1029" s="12" customFormat="1" x14ac:dyDescent="0.2">
      <c r="A106" s="9" t="str">
        <f t="shared" ref="A106:A107" si="953">CONCATENATE(B106,"_",C106)</f>
        <v>ada2c_human__wt</v>
      </c>
      <c r="B106" s="9" t="s">
        <v>157</v>
      </c>
      <c r="C106" s="9" t="s">
        <v>100</v>
      </c>
      <c r="D106" s="9" t="str">
        <f>IFERROR(MID(VLOOKUP($B106,Seqs!$A:$B,2,0),E106,1),"")</f>
        <v>S</v>
      </c>
      <c r="E106" s="9">
        <v>47</v>
      </c>
      <c r="F106" s="9" t="str">
        <f>IFERROR(MID(VLOOKUP($B106,Seqs!$A:$B,2,0),G106,1),"")</f>
        <v>S</v>
      </c>
      <c r="G106" s="9">
        <v>79</v>
      </c>
      <c r="H106" s="9" t="str">
        <f>IFERROR(MID(VLOOKUP($B106,Seqs!$A:$B,2,0),I106,1),"")</f>
        <v>R</v>
      </c>
      <c r="I106" s="109">
        <v>80</v>
      </c>
      <c r="J106" s="9" t="str">
        <f>IFERROR(MID(VLOOKUP($B106,Seqs!$A:$B,2,0),K106,1),"")</f>
        <v>R</v>
      </c>
      <c r="K106" s="109">
        <v>83</v>
      </c>
      <c r="L106" s="9" t="str">
        <f>IFERROR(MID(VLOOKUP($B106,Seqs!$A:$B,2,0),M106,1),"")</f>
        <v>A</v>
      </c>
      <c r="M106" s="9">
        <v>84</v>
      </c>
      <c r="N106" s="9" t="str">
        <f>IFERROR(MID(VLOOKUP($B106,Seqs!$A:$B,2,0),O106,1),"")</f>
        <v>A</v>
      </c>
      <c r="O106" s="9">
        <v>115</v>
      </c>
      <c r="P106" s="9" t="str">
        <f>IFERROR(MID(VLOOKUP($B106,Seqs!$A:$B,2,0),Q106,1),"")</f>
        <v>Y</v>
      </c>
      <c r="Q106" s="9">
        <v>116</v>
      </c>
      <c r="R106" s="9" t="str">
        <f>IFERROR(MID(VLOOKUP($B106,Seqs!$A:$B,2,0),S106,1),"")</f>
        <v>F</v>
      </c>
      <c r="S106" s="9">
        <v>119</v>
      </c>
      <c r="T106" s="9" t="str">
        <f>IFERROR(MID(VLOOKUP($B106,Seqs!$A:$B,2,0),U106,1),"")</f>
        <v>G</v>
      </c>
      <c r="U106" s="9">
        <v>120</v>
      </c>
      <c r="V106" s="9" t="str">
        <f>IFERROR(MID(VLOOKUP($B106,Seqs!$A:$B,2,0),W106,1),"")</f>
        <v>Q</v>
      </c>
      <c r="W106" s="9">
        <v>155</v>
      </c>
      <c r="X106" s="9" t="str">
        <f>IFERROR(MID(VLOOKUP($B106,Seqs!$A:$B,2,0),Y106,1),"")</f>
        <v>A</v>
      </c>
      <c r="Y106" s="9">
        <v>156</v>
      </c>
      <c r="Z106" s="9" t="str">
        <f>IFERROR(MID(VLOOKUP($B106,Seqs!$A:$B,2,0),AA106,1),"")</f>
        <v>R</v>
      </c>
      <c r="AA106" s="9">
        <v>163</v>
      </c>
      <c r="AB106" s="9" t="str">
        <f>IFERROR(MID(VLOOKUP($B106,Seqs!$A:$B,2,0),AC106,1),"")</f>
        <v>T</v>
      </c>
      <c r="AC106" s="9">
        <v>164</v>
      </c>
      <c r="AD106" s="9" t="str">
        <f>IFERROR(MID(VLOOKUP($B106,Seqs!$A:$B,2,0),AE106,1),"")</f>
        <v>V</v>
      </c>
      <c r="AE106" s="9">
        <v>188</v>
      </c>
      <c r="AF106" s="9" t="str">
        <f>IFERROR(MID(VLOOKUP($B106,Seqs!$A:$B,2,0),AG106,1),"")</f>
        <v>C</v>
      </c>
      <c r="AG106" s="9">
        <v>202</v>
      </c>
      <c r="AH106" s="9" t="str">
        <f>IFERROR(MID(VLOOKUP($B106,Seqs!$A:$B,2,0),AI106,1),"")</f>
        <v>L</v>
      </c>
      <c r="AI106" s="9">
        <v>204</v>
      </c>
      <c r="AJ106" s="9" t="str">
        <f>IFERROR(MID(VLOOKUP($B106,Seqs!$A:$B,2,0),AK106,1),"")</f>
        <v>E</v>
      </c>
      <c r="AK106" s="9">
        <v>207</v>
      </c>
      <c r="AL106" s="9" t="str">
        <f>IFERROR(MID(VLOOKUP($B106,Seqs!$A:$B,2,0),AM106,1),"")</f>
        <v>K</v>
      </c>
      <c r="AM106" s="9">
        <v>247</v>
      </c>
      <c r="AN106" s="9" t="str">
        <f>IFERROR(MID(VLOOKUP($B106,Seqs!$A:$B,2,0),AO106,1),"")</f>
        <v>K</v>
      </c>
      <c r="AO106" s="9">
        <v>371</v>
      </c>
      <c r="AP106" s="9" t="str">
        <f>IFERROR(MID(VLOOKUP($B106,Seqs!$A:$B,2,0),AQ106,1),"")</f>
        <v>R</v>
      </c>
      <c r="AQ106" s="9">
        <v>409</v>
      </c>
      <c r="AR106" s="9" t="str">
        <f>IFERROR(MID(VLOOKUP($B106,Seqs!$A:$B,2,0),AS106,1),"")</f>
        <v>P</v>
      </c>
      <c r="AS106" s="9">
        <v>415</v>
      </c>
      <c r="AT106" s="9" t="str">
        <f>IFERROR(MID(VLOOKUP($B106,Seqs!$A:$B,2,0),AU106,1),"")</f>
        <v>F</v>
      </c>
      <c r="AU106" s="9">
        <v>440</v>
      </c>
      <c r="AV106" s="9" t="str">
        <f>IFERROR(MID(VLOOKUP($B106,Seqs!$A:$B,2,0),AW106,1),"")</f>
        <v>N</v>
      </c>
      <c r="AW106" s="9">
        <v>441</v>
      </c>
      <c r="AX106" s="9" t="str">
        <f>IFERROR(MID(VLOOKUP($B106,Seqs!$A:$B,2,0),AY106,1),"")</f>
        <v>F</v>
      </c>
      <c r="AY106" s="9">
        <v>453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:BB107" si="954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:BC107" si="955">_xlfn.AGGREGATE(9,6,CH106:CS106)-_xlfn.AGGREGATE(9,6,BV106:CG106)+12</f>
        <v>264</v>
      </c>
      <c r="BD106" s="40" t="s">
        <v>23</v>
      </c>
      <c r="BE106" s="9" t="s">
        <v>23</v>
      </c>
      <c r="BF106" s="119" t="s">
        <v>23</v>
      </c>
      <c r="BG106" s="51" t="s">
        <v>23</v>
      </c>
      <c r="BH106" s="51" t="s">
        <v>23</v>
      </c>
      <c r="BJ106" s="111" t="s">
        <v>1283</v>
      </c>
      <c r="BK106" s="112" t="s">
        <v>1283</v>
      </c>
      <c r="BL106" s="112" t="s">
        <v>1283</v>
      </c>
      <c r="BM106" s="112" t="s">
        <v>1283</v>
      </c>
      <c r="BN106" s="112" t="s">
        <v>1283</v>
      </c>
      <c r="BO106" s="112" t="s">
        <v>1283</v>
      </c>
      <c r="BP106" s="112" t="s">
        <v>1283</v>
      </c>
      <c r="BQ106" s="112" t="s">
        <v>1283</v>
      </c>
      <c r="BR106" s="112" t="s">
        <v>1283</v>
      </c>
      <c r="BS106" s="112" t="s">
        <v>1283</v>
      </c>
      <c r="BT106" s="112" t="s">
        <v>1283</v>
      </c>
      <c r="BU106" s="112" t="s">
        <v>1283</v>
      </c>
      <c r="BV106" s="111">
        <f t="shared" ref="BV106:BV107" si="956">E106</f>
        <v>47</v>
      </c>
      <c r="BW106" s="113">
        <f t="shared" ref="BW106:BW107" si="957">I106</f>
        <v>80</v>
      </c>
      <c r="BX106" s="114">
        <f t="shared" ref="BX106:BX107" si="958">M106</f>
        <v>84</v>
      </c>
      <c r="BY106" s="113">
        <f t="shared" ref="BY106:BY107" si="959">Q106</f>
        <v>116</v>
      </c>
      <c r="BZ106" s="114">
        <f t="shared" ref="BZ106:BZ107" si="960">U106</f>
        <v>120</v>
      </c>
      <c r="CA106" s="113">
        <f t="shared" ref="CA106:CA107" si="961">Y106</f>
        <v>156</v>
      </c>
      <c r="CB106" s="114">
        <f t="shared" ref="CB106:CB107" si="962">AC106</f>
        <v>164</v>
      </c>
      <c r="CC106" s="113">
        <f t="shared" ref="CC106:CC107" si="963">AG106</f>
        <v>202</v>
      </c>
      <c r="CD106" s="114">
        <f t="shared" ref="CD106:CD107" si="964">AK106</f>
        <v>207</v>
      </c>
      <c r="CE106" s="113">
        <f t="shared" ref="CE106:CE107" si="965">AO106</f>
        <v>371</v>
      </c>
      <c r="CF106" s="114">
        <f t="shared" ref="CF106:CF107" si="966">AS106</f>
        <v>415</v>
      </c>
      <c r="CG106" s="113">
        <f t="shared" ref="CG106:CG107" si="967">AW106</f>
        <v>441</v>
      </c>
      <c r="CH106" s="111">
        <f t="shared" ref="CH106:CH107" si="968">G106</f>
        <v>79</v>
      </c>
      <c r="CI106" s="113">
        <f t="shared" ref="CI106:CI107" si="969">K106</f>
        <v>83</v>
      </c>
      <c r="CJ106" s="114">
        <f t="shared" ref="CJ106:CJ107" si="970">O106</f>
        <v>115</v>
      </c>
      <c r="CK106" s="114">
        <f t="shared" ref="CK106:CK107" si="971">S106</f>
        <v>119</v>
      </c>
      <c r="CL106" s="114">
        <f t="shared" ref="CL106:CL107" si="972">W106</f>
        <v>155</v>
      </c>
      <c r="CM106" s="114">
        <f t="shared" ref="CM106:CM107" si="973">AA106</f>
        <v>163</v>
      </c>
      <c r="CN106" s="114">
        <f t="shared" ref="CN106:CN107" si="974">AE106</f>
        <v>188</v>
      </c>
      <c r="CO106" s="114">
        <f t="shared" ref="CO106:CO107" si="975">AI106</f>
        <v>204</v>
      </c>
      <c r="CP106" s="114">
        <f t="shared" ref="CP106:CP107" si="976">AM106</f>
        <v>247</v>
      </c>
      <c r="CQ106" s="114">
        <f t="shared" ref="CQ106:CQ107" si="977">AQ106</f>
        <v>409</v>
      </c>
      <c r="CR106" s="114">
        <f t="shared" ref="CR106:CR107" si="978">AU106</f>
        <v>440</v>
      </c>
      <c r="CS106" s="114">
        <f t="shared" ref="CS106:CS107" si="979">AY106</f>
        <v>453</v>
      </c>
      <c r="CT106" s="109">
        <f t="shared" ref="CT106:CT107" si="980">M106-K106</f>
        <v>1</v>
      </c>
    </row>
    <row r="107" spans="1:1029" s="12" customFormat="1" x14ac:dyDescent="0.2">
      <c r="A107" s="9" t="str">
        <f t="shared" si="953"/>
        <v>ada2c_human_6KUW</v>
      </c>
      <c r="B107" s="9" t="s">
        <v>157</v>
      </c>
      <c r="C107" s="9" t="s">
        <v>1679</v>
      </c>
      <c r="D107" s="9" t="str">
        <f>IFERROR(MID(VLOOKUP($B107,Seqs!$A:$B,2,0),E107,1),"")</f>
        <v>S</v>
      </c>
      <c r="E107" s="9">
        <v>47</v>
      </c>
      <c r="F107" s="9" t="str">
        <f>IFERROR(MID(VLOOKUP($B107,Seqs!$A:$B,2,0),G107,1),"")</f>
        <v>S</v>
      </c>
      <c r="G107" s="9">
        <v>79</v>
      </c>
      <c r="H107" s="9" t="str">
        <f>IFERROR(MID(VLOOKUP($B107,Seqs!$A:$B,2,0),I107,1),"")</f>
        <v>R</v>
      </c>
      <c r="I107" s="109">
        <v>80</v>
      </c>
      <c r="J107" s="9" t="str">
        <f>IFERROR(MID(VLOOKUP($B107,Seqs!$A:$B,2,0),K107,1),"")</f>
        <v>R</v>
      </c>
      <c r="K107" s="109">
        <v>83</v>
      </c>
      <c r="L107" s="9" t="str">
        <f>IFERROR(MID(VLOOKUP($B107,Seqs!$A:$B,2,0),M107,1),"")</f>
        <v>A</v>
      </c>
      <c r="M107" s="9">
        <v>84</v>
      </c>
      <c r="N107" s="9" t="str">
        <f>IFERROR(MID(VLOOKUP($B107,Seqs!$A:$B,2,0),O107,1),"")</f>
        <v>A</v>
      </c>
      <c r="O107" s="9">
        <v>115</v>
      </c>
      <c r="P107" s="9" t="str">
        <f>IFERROR(MID(VLOOKUP($B107,Seqs!$A:$B,2,0),Q107,1),"")</f>
        <v>Y</v>
      </c>
      <c r="Q107" s="9">
        <v>116</v>
      </c>
      <c r="R107" s="9" t="str">
        <f>IFERROR(MID(VLOOKUP($B107,Seqs!$A:$B,2,0),S107,1),"")</f>
        <v>F</v>
      </c>
      <c r="S107" s="9">
        <v>119</v>
      </c>
      <c r="T107" s="9" t="str">
        <f>IFERROR(MID(VLOOKUP($B107,Seqs!$A:$B,2,0),U107,1),"")</f>
        <v>G</v>
      </c>
      <c r="U107" s="9">
        <v>120</v>
      </c>
      <c r="V107" s="9" t="str">
        <f>IFERROR(MID(VLOOKUP($B107,Seqs!$A:$B,2,0),W107,1),"")</f>
        <v>Q</v>
      </c>
      <c r="W107" s="9">
        <v>155</v>
      </c>
      <c r="X107" s="9" t="str">
        <f>IFERROR(MID(VLOOKUP($B107,Seqs!$A:$B,2,0),Y107,1),"")</f>
        <v>A</v>
      </c>
      <c r="Y107" s="9">
        <v>156</v>
      </c>
      <c r="Z107" s="9" t="str">
        <f>IFERROR(MID(VLOOKUP($B107,Seqs!$A:$B,2,0),AA107,1),"")</f>
        <v>R</v>
      </c>
      <c r="AA107" s="9">
        <v>163</v>
      </c>
      <c r="AB107" s="9" t="str">
        <f>IFERROR(MID(VLOOKUP($B107,Seqs!$A:$B,2,0),AC107,1),"")</f>
        <v>T</v>
      </c>
      <c r="AC107" s="9">
        <v>164</v>
      </c>
      <c r="AD107" s="9" t="str">
        <f>IFERROR(MID(VLOOKUP($B107,Seqs!$A:$B,2,0),AE107,1),"")</f>
        <v>F</v>
      </c>
      <c r="AE107" s="9">
        <v>184</v>
      </c>
      <c r="AF107" s="9" t="str">
        <f>IFERROR(MID(VLOOKUP($B107,Seqs!$A:$B,2,0),AG107,1),"")</f>
        <v>C</v>
      </c>
      <c r="AG107" s="9">
        <v>202</v>
      </c>
      <c r="AH107" s="9" t="str">
        <f>IFERROR(MID(VLOOKUP($B107,Seqs!$A:$B,2,0),AI107,1),"")</f>
        <v>L</v>
      </c>
      <c r="AI107" s="9">
        <v>204</v>
      </c>
      <c r="AJ107" s="9" t="str">
        <f>IFERROR(MID(VLOOKUP($B107,Seqs!$A:$B,2,0),AK107,1),"")</f>
        <v>E</v>
      </c>
      <c r="AK107" s="9">
        <v>207</v>
      </c>
      <c r="AL107" s="9" t="str">
        <f>IFERROR(MID(VLOOKUP($B107,Seqs!$A:$B,2,0),AM107,1),"")</f>
        <v>R</v>
      </c>
      <c r="AM107" s="9">
        <v>240</v>
      </c>
      <c r="AN107" s="9" t="str">
        <f>IFERROR(MID(VLOOKUP($B107,Seqs!$A:$B,2,0),AO107,1),"")</f>
        <v>V</v>
      </c>
      <c r="AO107" s="9">
        <v>372</v>
      </c>
      <c r="AP107" s="9" t="str">
        <f>IFERROR(MID(VLOOKUP($B107,Seqs!$A:$B,2,0),AQ107,1),"")</f>
        <v>R</v>
      </c>
      <c r="AQ107" s="9">
        <v>409</v>
      </c>
      <c r="AR107" s="9" t="str">
        <f>IFERROR(MID(VLOOKUP($B107,Seqs!$A:$B,2,0),AS107,1),"")</f>
        <v>P</v>
      </c>
      <c r="AS107" s="9">
        <v>415</v>
      </c>
      <c r="AT107" s="9" t="str">
        <f>IFERROR(MID(VLOOKUP($B107,Seqs!$A:$B,2,0),AU107,1),"")</f>
        <v>F</v>
      </c>
      <c r="AU107" s="9">
        <v>440</v>
      </c>
      <c r="AV107" s="9" t="str">
        <f>IFERROR(MID(VLOOKUP($B107,Seqs!$A:$B,2,0),AW107,1),"")</f>
        <v>N</v>
      </c>
      <c r="AW107" s="9">
        <v>441</v>
      </c>
      <c r="AX107" s="9" t="str">
        <f>IFERROR(MID(VLOOKUP($B107,Seqs!$A:$B,2,0),AY107,1),"")</f>
        <v>F</v>
      </c>
      <c r="AY107" s="9">
        <v>453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si="954"/>
        <v>1</v>
      </c>
      <c r="BC107" s="109">
        <f t="shared" si="955"/>
        <v>252</v>
      </c>
      <c r="BD107" s="40" t="s">
        <v>1372</v>
      </c>
      <c r="BE107" s="9" t="s">
        <v>1370</v>
      </c>
      <c r="BF107" s="119">
        <v>2.8</v>
      </c>
      <c r="BG107" s="51" t="s">
        <v>1418</v>
      </c>
      <c r="BH107" s="51" t="s">
        <v>1418</v>
      </c>
      <c r="BJ107" s="111" t="s">
        <v>1283</v>
      </c>
      <c r="BK107" s="112" t="s">
        <v>1283</v>
      </c>
      <c r="BL107" s="112" t="s">
        <v>1283</v>
      </c>
      <c r="BM107" s="112" t="s">
        <v>1283</v>
      </c>
      <c r="BN107" s="112" t="s">
        <v>1283</v>
      </c>
      <c r="BO107" s="112" t="s">
        <v>1283</v>
      </c>
      <c r="BP107" s="112" t="s">
        <v>1283</v>
      </c>
      <c r="BQ107" s="112" t="s">
        <v>1283</v>
      </c>
      <c r="BR107" s="112" t="s">
        <v>1283</v>
      </c>
      <c r="BS107" s="112" t="s">
        <v>1283</v>
      </c>
      <c r="BT107" s="112" t="s">
        <v>1283</v>
      </c>
      <c r="BU107" s="112" t="s">
        <v>1283</v>
      </c>
      <c r="BV107" s="111">
        <f t="shared" si="956"/>
        <v>47</v>
      </c>
      <c r="BW107" s="113">
        <f t="shared" si="957"/>
        <v>80</v>
      </c>
      <c r="BX107" s="114">
        <f t="shared" si="958"/>
        <v>84</v>
      </c>
      <c r="BY107" s="113">
        <f t="shared" si="959"/>
        <v>116</v>
      </c>
      <c r="BZ107" s="114">
        <f t="shared" si="960"/>
        <v>120</v>
      </c>
      <c r="CA107" s="113">
        <f t="shared" si="961"/>
        <v>156</v>
      </c>
      <c r="CB107" s="114">
        <f t="shared" si="962"/>
        <v>164</v>
      </c>
      <c r="CC107" s="113">
        <f t="shared" si="963"/>
        <v>202</v>
      </c>
      <c r="CD107" s="114">
        <f t="shared" si="964"/>
        <v>207</v>
      </c>
      <c r="CE107" s="113">
        <f t="shared" si="965"/>
        <v>372</v>
      </c>
      <c r="CF107" s="114">
        <f t="shared" si="966"/>
        <v>415</v>
      </c>
      <c r="CG107" s="113">
        <f t="shared" si="967"/>
        <v>441</v>
      </c>
      <c r="CH107" s="111">
        <f t="shared" si="968"/>
        <v>79</v>
      </c>
      <c r="CI107" s="113">
        <f t="shared" si="969"/>
        <v>83</v>
      </c>
      <c r="CJ107" s="114">
        <f t="shared" si="970"/>
        <v>115</v>
      </c>
      <c r="CK107" s="114">
        <f t="shared" si="971"/>
        <v>119</v>
      </c>
      <c r="CL107" s="114">
        <f t="shared" si="972"/>
        <v>155</v>
      </c>
      <c r="CM107" s="114">
        <f t="shared" si="973"/>
        <v>163</v>
      </c>
      <c r="CN107" s="114">
        <f t="shared" si="974"/>
        <v>184</v>
      </c>
      <c r="CO107" s="114">
        <f t="shared" si="975"/>
        <v>204</v>
      </c>
      <c r="CP107" s="114">
        <f t="shared" si="976"/>
        <v>240</v>
      </c>
      <c r="CQ107" s="114">
        <f t="shared" si="977"/>
        <v>409</v>
      </c>
      <c r="CR107" s="114">
        <f t="shared" si="978"/>
        <v>440</v>
      </c>
      <c r="CS107" s="114">
        <f t="shared" si="979"/>
        <v>453</v>
      </c>
      <c r="CT107" s="109">
        <f t="shared" si="980"/>
        <v>1</v>
      </c>
    </row>
    <row r="108" spans="1:1029" x14ac:dyDescent="0.2">
      <c r="A108" s="3" t="str">
        <f t="shared" si="559"/>
        <v>adrb1_melga__wt</v>
      </c>
      <c r="B108" s="3" t="s">
        <v>907</v>
      </c>
      <c r="C108" s="3" t="s">
        <v>100</v>
      </c>
      <c r="D108" s="3" t="str">
        <f>IFERROR(MID(VLOOKUP($B108,Seqs!$A:$B,2,0),E108,1),"")</f>
        <v>A</v>
      </c>
      <c r="E108" s="3">
        <v>33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G</v>
      </c>
      <c r="O108" s="105">
        <v>105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E</v>
      </c>
      <c r="AM108" s="3">
        <v>245</v>
      </c>
      <c r="AN108" s="3" t="str">
        <f>IFERROR(MID(VLOOKUP($B108,Seqs!$A:$B,2,0),AO108,1),"")</f>
        <v>R</v>
      </c>
      <c r="AO108" s="3">
        <v>275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60"/>
        <v>1</v>
      </c>
      <c r="BC108" s="23">
        <f t="shared" si="225"/>
        <v>273</v>
      </c>
      <c r="BD108" s="34" t="s">
        <v>23</v>
      </c>
      <c r="BE108" s="3" t="s">
        <v>23</v>
      </c>
      <c r="BF108" s="118" t="s">
        <v>23</v>
      </c>
      <c r="BG108" s="49" t="s">
        <v>1368</v>
      </c>
      <c r="BH108" s="49" t="s">
        <v>1373</v>
      </c>
      <c r="BI108" s="3" t="s">
        <v>1161</v>
      </c>
      <c r="BJ108" s="70" t="s">
        <v>1283</v>
      </c>
      <c r="BK108" s="57" t="s">
        <v>1283</v>
      </c>
      <c r="BL108" s="57" t="s">
        <v>1283</v>
      </c>
      <c r="BM108" s="57" t="s">
        <v>1283</v>
      </c>
      <c r="BN108" s="57" t="s">
        <v>1283</v>
      </c>
      <c r="BO108" s="57" t="s">
        <v>1283</v>
      </c>
      <c r="BP108" s="57" t="s">
        <v>1283</v>
      </c>
      <c r="BQ108" s="57" t="s">
        <v>1283</v>
      </c>
      <c r="BR108" s="57" t="s">
        <v>1283</v>
      </c>
      <c r="BS108" s="57" t="s">
        <v>1283</v>
      </c>
      <c r="BT108" s="57" t="s">
        <v>1283</v>
      </c>
      <c r="BU108" s="57" t="s">
        <v>1283</v>
      </c>
      <c r="BV108" s="70">
        <f t="shared" si="226"/>
        <v>33</v>
      </c>
      <c r="BW108" s="71">
        <f t="shared" si="227"/>
        <v>70</v>
      </c>
      <c r="BX108" s="72">
        <f t="shared" si="228"/>
        <v>74</v>
      </c>
      <c r="BY108" s="71">
        <f t="shared" si="229"/>
        <v>106</v>
      </c>
      <c r="BZ108" s="72">
        <f t="shared" si="230"/>
        <v>110</v>
      </c>
      <c r="CA108" s="71">
        <f t="shared" si="231"/>
        <v>146</v>
      </c>
      <c r="CB108" s="72">
        <f t="shared" si="232"/>
        <v>154</v>
      </c>
      <c r="CC108" s="71">
        <f t="shared" si="233"/>
        <v>199</v>
      </c>
      <c r="CD108" s="72">
        <f t="shared" si="234"/>
        <v>204</v>
      </c>
      <c r="CE108" s="71">
        <f t="shared" si="235"/>
        <v>275</v>
      </c>
      <c r="CF108" s="72">
        <f t="shared" si="236"/>
        <v>321</v>
      </c>
      <c r="CG108" s="71">
        <f t="shared" si="237"/>
        <v>346</v>
      </c>
      <c r="CH108" s="70">
        <f t="shared" si="238"/>
        <v>69</v>
      </c>
      <c r="CI108" s="71">
        <f t="shared" si="239"/>
        <v>73</v>
      </c>
      <c r="CJ108" s="72">
        <f t="shared" si="240"/>
        <v>105</v>
      </c>
      <c r="CK108" s="72">
        <f t="shared" si="241"/>
        <v>109</v>
      </c>
      <c r="CL108" s="72">
        <f t="shared" si="242"/>
        <v>145</v>
      </c>
      <c r="CM108" s="72">
        <f t="shared" si="243"/>
        <v>153</v>
      </c>
      <c r="CN108" s="72">
        <f t="shared" si="244"/>
        <v>180</v>
      </c>
      <c r="CO108" s="72">
        <f t="shared" si="245"/>
        <v>201</v>
      </c>
      <c r="CP108" s="72">
        <f t="shared" si="246"/>
        <v>245</v>
      </c>
      <c r="CQ108" s="72">
        <f t="shared" si="247"/>
        <v>316</v>
      </c>
      <c r="CR108" s="72">
        <f t="shared" si="248"/>
        <v>345</v>
      </c>
      <c r="CS108" s="72">
        <f t="shared" si="249"/>
        <v>358</v>
      </c>
      <c r="CT108" s="23">
        <f t="shared" si="25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59"/>
        <v>adrb1_melga_2Y00</v>
      </c>
      <c r="B109" s="3" t="s">
        <v>907</v>
      </c>
      <c r="C109" s="3" t="s">
        <v>1018</v>
      </c>
      <c r="D109" s="3" t="str">
        <f>IFERROR(MID(VLOOKUP($B109,Seqs!$A:$B,2,0),E109,1),"")</f>
        <v>A</v>
      </c>
      <c r="E109" s="3">
        <v>33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G</v>
      </c>
      <c r="O109" s="3">
        <v>105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I</v>
      </c>
      <c r="AM109" s="3">
        <v>238</v>
      </c>
      <c r="AN109" s="3" t="str">
        <f>IFERROR(MID(VLOOKUP($B109,Seqs!$A:$B,2,0),AO109,1),"")</f>
        <v>R</v>
      </c>
      <c r="AO109" s="3">
        <v>275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60"/>
        <v>1</v>
      </c>
      <c r="BC109" s="23">
        <f t="shared" si="225"/>
        <v>266</v>
      </c>
      <c r="BD109" s="4" t="s">
        <v>23</v>
      </c>
      <c r="BE109" s="3" t="s">
        <v>1370</v>
      </c>
      <c r="BF109" s="118">
        <v>2.5</v>
      </c>
      <c r="BG109" s="49" t="s">
        <v>1373</v>
      </c>
      <c r="BH109" s="49" t="s">
        <v>1373</v>
      </c>
      <c r="BI109" s="1"/>
      <c r="BJ109" s="70" t="s">
        <v>1283</v>
      </c>
      <c r="BK109" s="57" t="s">
        <v>1283</v>
      </c>
      <c r="BL109" s="57" t="s">
        <v>1283</v>
      </c>
      <c r="BM109" s="57" t="s">
        <v>1283</v>
      </c>
      <c r="BN109" s="57" t="s">
        <v>1283</v>
      </c>
      <c r="BO109" s="57" t="s">
        <v>1283</v>
      </c>
      <c r="BP109" s="57" t="s">
        <v>1283</v>
      </c>
      <c r="BQ109" s="57" t="s">
        <v>1283</v>
      </c>
      <c r="BR109" s="57" t="s">
        <v>1283</v>
      </c>
      <c r="BS109" s="57" t="s">
        <v>1283</v>
      </c>
      <c r="BT109" s="57" t="s">
        <v>1283</v>
      </c>
      <c r="BU109" s="57" t="s">
        <v>1283</v>
      </c>
      <c r="BV109" s="70">
        <f t="shared" si="226"/>
        <v>33</v>
      </c>
      <c r="BW109" s="71">
        <f t="shared" si="227"/>
        <v>70</v>
      </c>
      <c r="BX109" s="72">
        <f t="shared" si="228"/>
        <v>74</v>
      </c>
      <c r="BY109" s="71">
        <f t="shared" si="229"/>
        <v>106</v>
      </c>
      <c r="BZ109" s="72">
        <f t="shared" si="230"/>
        <v>110</v>
      </c>
      <c r="CA109" s="71">
        <f t="shared" si="231"/>
        <v>146</v>
      </c>
      <c r="CB109" s="72">
        <f t="shared" si="232"/>
        <v>154</v>
      </c>
      <c r="CC109" s="71">
        <f t="shared" si="233"/>
        <v>199</v>
      </c>
      <c r="CD109" s="72">
        <f t="shared" si="234"/>
        <v>204</v>
      </c>
      <c r="CE109" s="71">
        <f t="shared" si="235"/>
        <v>275</v>
      </c>
      <c r="CF109" s="72">
        <f t="shared" si="236"/>
        <v>321</v>
      </c>
      <c r="CG109" s="71">
        <f t="shared" si="237"/>
        <v>346</v>
      </c>
      <c r="CH109" s="70">
        <f t="shared" si="238"/>
        <v>69</v>
      </c>
      <c r="CI109" s="71">
        <f t="shared" si="239"/>
        <v>73</v>
      </c>
      <c r="CJ109" s="72">
        <f t="shared" si="240"/>
        <v>105</v>
      </c>
      <c r="CK109" s="72">
        <f t="shared" si="241"/>
        <v>109</v>
      </c>
      <c r="CL109" s="72">
        <f t="shared" si="242"/>
        <v>145</v>
      </c>
      <c r="CM109" s="72">
        <f t="shared" si="243"/>
        <v>153</v>
      </c>
      <c r="CN109" s="72">
        <f t="shared" si="244"/>
        <v>180</v>
      </c>
      <c r="CO109" s="72">
        <f t="shared" si="245"/>
        <v>201</v>
      </c>
      <c r="CP109" s="72">
        <f t="shared" si="246"/>
        <v>238</v>
      </c>
      <c r="CQ109" s="72">
        <f t="shared" si="247"/>
        <v>316</v>
      </c>
      <c r="CR109" s="72">
        <f t="shared" si="248"/>
        <v>345</v>
      </c>
      <c r="CS109" s="72">
        <f t="shared" si="249"/>
        <v>358</v>
      </c>
      <c r="CT109" s="23">
        <f t="shared" si="25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59"/>
        <v>adrb1_melga_2Y02</v>
      </c>
      <c r="B110" s="3" t="s">
        <v>907</v>
      </c>
      <c r="C110" s="3" t="s">
        <v>1019</v>
      </c>
      <c r="D110" s="3" t="str">
        <f>IFERROR(MID(VLOOKUP($B110,Seqs!$A:$B,2,0),E110,1),"")</f>
        <v>A</v>
      </c>
      <c r="E110" s="3">
        <v>33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G</v>
      </c>
      <c r="O110" s="3">
        <v>105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I</v>
      </c>
      <c r="AM110" s="3">
        <v>238</v>
      </c>
      <c r="AN110" s="3" t="str">
        <f>IFERROR(MID(VLOOKUP($B110,Seqs!$A:$B,2,0),AO110,1),"")</f>
        <v>R</v>
      </c>
      <c r="AO110" s="3">
        <v>275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C</v>
      </c>
      <c r="AY110" s="3">
        <v>358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60"/>
        <v>1</v>
      </c>
      <c r="BC110" s="23">
        <f t="shared" si="225"/>
        <v>266</v>
      </c>
      <c r="BD110" s="4" t="s">
        <v>23</v>
      </c>
      <c r="BE110" s="3" t="s">
        <v>1370</v>
      </c>
      <c r="BF110" s="118">
        <v>2.6</v>
      </c>
      <c r="BG110" s="49" t="s">
        <v>1373</v>
      </c>
      <c r="BH110" s="49" t="s">
        <v>1373</v>
      </c>
      <c r="BI110" s="1"/>
      <c r="BJ110" s="70" t="s">
        <v>1283</v>
      </c>
      <c r="BK110" s="57" t="s">
        <v>1283</v>
      </c>
      <c r="BL110" s="57" t="s">
        <v>1283</v>
      </c>
      <c r="BM110" s="57" t="s">
        <v>1283</v>
      </c>
      <c r="BN110" s="57" t="s">
        <v>1283</v>
      </c>
      <c r="BO110" s="57" t="s">
        <v>1283</v>
      </c>
      <c r="BP110" s="57" t="s">
        <v>1283</v>
      </c>
      <c r="BQ110" s="57" t="s">
        <v>1283</v>
      </c>
      <c r="BR110" s="57" t="s">
        <v>1283</v>
      </c>
      <c r="BS110" s="57" t="s">
        <v>1283</v>
      </c>
      <c r="BT110" s="57" t="s">
        <v>1283</v>
      </c>
      <c r="BU110" s="57" t="s">
        <v>1283</v>
      </c>
      <c r="BV110" s="70">
        <f t="shared" si="226"/>
        <v>33</v>
      </c>
      <c r="BW110" s="71">
        <f t="shared" si="227"/>
        <v>70</v>
      </c>
      <c r="BX110" s="72">
        <f t="shared" si="228"/>
        <v>74</v>
      </c>
      <c r="BY110" s="71">
        <f t="shared" si="229"/>
        <v>106</v>
      </c>
      <c r="BZ110" s="72">
        <f t="shared" si="230"/>
        <v>110</v>
      </c>
      <c r="CA110" s="71">
        <f t="shared" si="231"/>
        <v>146</v>
      </c>
      <c r="CB110" s="72">
        <f t="shared" si="232"/>
        <v>154</v>
      </c>
      <c r="CC110" s="71">
        <f t="shared" si="233"/>
        <v>199</v>
      </c>
      <c r="CD110" s="72">
        <f t="shared" si="234"/>
        <v>204</v>
      </c>
      <c r="CE110" s="71">
        <f t="shared" si="235"/>
        <v>275</v>
      </c>
      <c r="CF110" s="72">
        <f t="shared" si="236"/>
        <v>321</v>
      </c>
      <c r="CG110" s="71">
        <f t="shared" si="237"/>
        <v>346</v>
      </c>
      <c r="CH110" s="70">
        <f t="shared" si="238"/>
        <v>69</v>
      </c>
      <c r="CI110" s="71">
        <f t="shared" si="239"/>
        <v>73</v>
      </c>
      <c r="CJ110" s="72">
        <f t="shared" si="240"/>
        <v>105</v>
      </c>
      <c r="CK110" s="72">
        <f t="shared" si="241"/>
        <v>109</v>
      </c>
      <c r="CL110" s="72">
        <f t="shared" si="242"/>
        <v>145</v>
      </c>
      <c r="CM110" s="72">
        <f t="shared" si="243"/>
        <v>153</v>
      </c>
      <c r="CN110" s="72">
        <f t="shared" si="244"/>
        <v>180</v>
      </c>
      <c r="CO110" s="72">
        <f t="shared" si="245"/>
        <v>201</v>
      </c>
      <c r="CP110" s="72">
        <f t="shared" si="246"/>
        <v>238</v>
      </c>
      <c r="CQ110" s="72">
        <f t="shared" si="247"/>
        <v>316</v>
      </c>
      <c r="CR110" s="72">
        <f t="shared" si="248"/>
        <v>345</v>
      </c>
      <c r="CS110" s="72">
        <f t="shared" si="249"/>
        <v>358</v>
      </c>
      <c r="CT110" s="23">
        <f t="shared" si="25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adrb1_melga_2Y03</v>
      </c>
      <c r="B111" s="3" t="s">
        <v>907</v>
      </c>
      <c r="C111" s="3" t="s">
        <v>1020</v>
      </c>
      <c r="D111" s="3" t="str">
        <f>IFERROR(MID(VLOOKUP($B111,Seqs!$A:$B,2,0),E111,1),"")</f>
        <v>A</v>
      </c>
      <c r="E111" s="3">
        <v>33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G</v>
      </c>
      <c r="O111" s="3">
        <v>105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I</v>
      </c>
      <c r="AM111" s="3">
        <v>238</v>
      </c>
      <c r="AN111" s="3" t="str">
        <f>IFERROR(MID(VLOOKUP($B111,Seqs!$A:$B,2,0),AO111,1),"")</f>
        <v>R</v>
      </c>
      <c r="AO111" s="3">
        <v>275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225"/>
        <v>266</v>
      </c>
      <c r="BD111" s="4" t="s">
        <v>23</v>
      </c>
      <c r="BE111" s="3" t="s">
        <v>1370</v>
      </c>
      <c r="BF111" s="118">
        <v>2.85</v>
      </c>
      <c r="BG111" s="49" t="s">
        <v>1373</v>
      </c>
      <c r="BH111" s="49" t="s">
        <v>1373</v>
      </c>
      <c r="BI111" s="1"/>
      <c r="BJ111" s="70" t="s">
        <v>1283</v>
      </c>
      <c r="BK111" s="57" t="s">
        <v>1283</v>
      </c>
      <c r="BL111" s="57" t="s">
        <v>1283</v>
      </c>
      <c r="BM111" s="57" t="s">
        <v>1283</v>
      </c>
      <c r="BN111" s="57" t="s">
        <v>1283</v>
      </c>
      <c r="BO111" s="57" t="s">
        <v>1283</v>
      </c>
      <c r="BP111" s="57" t="s">
        <v>1283</v>
      </c>
      <c r="BQ111" s="57" t="s">
        <v>1283</v>
      </c>
      <c r="BR111" s="57" t="s">
        <v>1283</v>
      </c>
      <c r="BS111" s="57" t="s">
        <v>1283</v>
      </c>
      <c r="BT111" s="57" t="s">
        <v>1283</v>
      </c>
      <c r="BU111" s="57" t="s">
        <v>1283</v>
      </c>
      <c r="BV111" s="70">
        <f t="shared" si="226"/>
        <v>33</v>
      </c>
      <c r="BW111" s="71">
        <f t="shared" si="227"/>
        <v>70</v>
      </c>
      <c r="BX111" s="72">
        <f t="shared" si="228"/>
        <v>74</v>
      </c>
      <c r="BY111" s="71">
        <f t="shared" si="229"/>
        <v>106</v>
      </c>
      <c r="BZ111" s="72">
        <f t="shared" si="230"/>
        <v>110</v>
      </c>
      <c r="CA111" s="71">
        <f t="shared" si="231"/>
        <v>146</v>
      </c>
      <c r="CB111" s="72">
        <f t="shared" si="232"/>
        <v>154</v>
      </c>
      <c r="CC111" s="71">
        <f t="shared" si="233"/>
        <v>199</v>
      </c>
      <c r="CD111" s="72">
        <f t="shared" si="234"/>
        <v>204</v>
      </c>
      <c r="CE111" s="71">
        <f t="shared" si="235"/>
        <v>275</v>
      </c>
      <c r="CF111" s="72">
        <f t="shared" si="236"/>
        <v>321</v>
      </c>
      <c r="CG111" s="71">
        <f t="shared" si="237"/>
        <v>346</v>
      </c>
      <c r="CH111" s="70">
        <f t="shared" si="238"/>
        <v>69</v>
      </c>
      <c r="CI111" s="71">
        <f t="shared" si="239"/>
        <v>73</v>
      </c>
      <c r="CJ111" s="72">
        <f t="shared" si="240"/>
        <v>105</v>
      </c>
      <c r="CK111" s="72">
        <f t="shared" si="241"/>
        <v>109</v>
      </c>
      <c r="CL111" s="72">
        <f t="shared" si="242"/>
        <v>145</v>
      </c>
      <c r="CM111" s="72">
        <f t="shared" si="243"/>
        <v>153</v>
      </c>
      <c r="CN111" s="72">
        <f t="shared" si="244"/>
        <v>180</v>
      </c>
      <c r="CO111" s="72">
        <f t="shared" si="245"/>
        <v>201</v>
      </c>
      <c r="CP111" s="72">
        <f t="shared" si="246"/>
        <v>238</v>
      </c>
      <c r="CQ111" s="72">
        <f t="shared" si="247"/>
        <v>316</v>
      </c>
      <c r="CR111" s="72">
        <f t="shared" si="248"/>
        <v>345</v>
      </c>
      <c r="CS111" s="72">
        <f t="shared" si="249"/>
        <v>358</v>
      </c>
      <c r="CT111" s="23">
        <f t="shared" si="25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559"/>
        <v>adrb1_melga_2Y04</v>
      </c>
      <c r="B112" s="3" t="s">
        <v>907</v>
      </c>
      <c r="C112" s="3" t="s">
        <v>1021</v>
      </c>
      <c r="D112" s="3" t="str">
        <f>IFERROR(MID(VLOOKUP($B112,Seqs!$A:$B,2,0),E112,1),"")</f>
        <v>A</v>
      </c>
      <c r="E112" s="3">
        <v>33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G</v>
      </c>
      <c r="O112" s="3">
        <v>105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9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I</v>
      </c>
      <c r="AM112" s="3">
        <v>238</v>
      </c>
      <c r="AN112" s="3" t="str">
        <f>IFERROR(MID(VLOOKUP($B112,Seqs!$A:$B,2,0),AO112,1),"")</f>
        <v>R</v>
      </c>
      <c r="AO112" s="3">
        <v>275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C</v>
      </c>
      <c r="AY112" s="3">
        <v>358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225"/>
        <v>266</v>
      </c>
      <c r="BD112" s="4" t="s">
        <v>23</v>
      </c>
      <c r="BE112" s="3" t="s">
        <v>1370</v>
      </c>
      <c r="BF112" s="118">
        <v>3.05</v>
      </c>
      <c r="BG112" s="49" t="s">
        <v>1373</v>
      </c>
      <c r="BH112" s="49" t="s">
        <v>1373</v>
      </c>
      <c r="BI112" s="1"/>
      <c r="BJ112" s="70" t="s">
        <v>1283</v>
      </c>
      <c r="BK112" s="57" t="s">
        <v>1283</v>
      </c>
      <c r="BL112" s="57" t="s">
        <v>1283</v>
      </c>
      <c r="BM112" s="57" t="s">
        <v>1283</v>
      </c>
      <c r="BN112" s="57" t="s">
        <v>1283</v>
      </c>
      <c r="BO112" s="57" t="s">
        <v>1283</v>
      </c>
      <c r="BP112" s="57" t="s">
        <v>1283</v>
      </c>
      <c r="BQ112" s="57" t="s">
        <v>1283</v>
      </c>
      <c r="BR112" s="57" t="s">
        <v>1283</v>
      </c>
      <c r="BS112" s="57" t="s">
        <v>1283</v>
      </c>
      <c r="BT112" s="57" t="s">
        <v>1283</v>
      </c>
      <c r="BU112" s="57" t="s">
        <v>1283</v>
      </c>
      <c r="BV112" s="70">
        <f t="shared" si="226"/>
        <v>33</v>
      </c>
      <c r="BW112" s="71">
        <f t="shared" si="227"/>
        <v>70</v>
      </c>
      <c r="BX112" s="72">
        <f t="shared" si="228"/>
        <v>74</v>
      </c>
      <c r="BY112" s="71">
        <f t="shared" si="229"/>
        <v>106</v>
      </c>
      <c r="BZ112" s="72">
        <f t="shared" si="230"/>
        <v>110</v>
      </c>
      <c r="CA112" s="71">
        <f t="shared" si="231"/>
        <v>146</v>
      </c>
      <c r="CB112" s="72">
        <f t="shared" si="232"/>
        <v>154</v>
      </c>
      <c r="CC112" s="71">
        <f t="shared" si="233"/>
        <v>199</v>
      </c>
      <c r="CD112" s="72">
        <f t="shared" si="234"/>
        <v>204</v>
      </c>
      <c r="CE112" s="71">
        <f t="shared" si="235"/>
        <v>275</v>
      </c>
      <c r="CF112" s="72">
        <f t="shared" si="236"/>
        <v>321</v>
      </c>
      <c r="CG112" s="71">
        <f t="shared" si="237"/>
        <v>346</v>
      </c>
      <c r="CH112" s="70">
        <f t="shared" si="238"/>
        <v>69</v>
      </c>
      <c r="CI112" s="71">
        <f t="shared" si="239"/>
        <v>73</v>
      </c>
      <c r="CJ112" s="72">
        <f t="shared" si="240"/>
        <v>105</v>
      </c>
      <c r="CK112" s="72">
        <f t="shared" si="241"/>
        <v>109</v>
      </c>
      <c r="CL112" s="72">
        <f t="shared" si="242"/>
        <v>145</v>
      </c>
      <c r="CM112" s="72">
        <f t="shared" si="243"/>
        <v>153</v>
      </c>
      <c r="CN112" s="72">
        <f t="shared" si="244"/>
        <v>180</v>
      </c>
      <c r="CO112" s="72">
        <f t="shared" si="245"/>
        <v>201</v>
      </c>
      <c r="CP112" s="72">
        <f t="shared" si="246"/>
        <v>238</v>
      </c>
      <c r="CQ112" s="72">
        <f t="shared" si="247"/>
        <v>316</v>
      </c>
      <c r="CR112" s="72">
        <f t="shared" si="248"/>
        <v>345</v>
      </c>
      <c r="CS112" s="72">
        <f t="shared" si="249"/>
        <v>358</v>
      </c>
      <c r="CT112" s="23">
        <f t="shared" si="25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adrb1_melga_2YCW</v>
      </c>
      <c r="B113" s="3" t="s">
        <v>907</v>
      </c>
      <c r="C113" s="3" t="s">
        <v>1022</v>
      </c>
      <c r="D113" s="3" t="str">
        <f>IFERROR(MID(VLOOKUP($B113,Seqs!$A:$B,2,0),E113,1),"")</f>
        <v>S</v>
      </c>
      <c r="E113" s="3">
        <v>37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3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K</v>
      </c>
      <c r="AM113" s="3">
        <v>240</v>
      </c>
      <c r="AN113" s="3" t="str">
        <f>IFERROR(MID(VLOOKUP($B113,Seqs!$A:$B,2,0),AO113,1),"")</f>
        <v>L</v>
      </c>
      <c r="AO113" s="3">
        <v>289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225"/>
        <v>250</v>
      </c>
      <c r="BD113" s="4" t="s">
        <v>23</v>
      </c>
      <c r="BE113" s="3" t="s">
        <v>1370</v>
      </c>
      <c r="BF113" s="118">
        <v>3</v>
      </c>
      <c r="BG113" s="49" t="s">
        <v>1373</v>
      </c>
      <c r="BH113" s="49" t="s">
        <v>1373</v>
      </c>
      <c r="BI113" s="1"/>
      <c r="BJ113" s="70" t="s">
        <v>1283</v>
      </c>
      <c r="BK113" s="57" t="s">
        <v>1283</v>
      </c>
      <c r="BL113" s="57" t="s">
        <v>1283</v>
      </c>
      <c r="BM113" s="57" t="s">
        <v>1283</v>
      </c>
      <c r="BN113" s="57" t="s">
        <v>1283</v>
      </c>
      <c r="BO113" s="57" t="s">
        <v>1283</v>
      </c>
      <c r="BP113" s="57" t="s">
        <v>1283</v>
      </c>
      <c r="BQ113" s="57" t="s">
        <v>1283</v>
      </c>
      <c r="BR113" s="57" t="s">
        <v>1283</v>
      </c>
      <c r="BS113" s="57" t="s">
        <v>1283</v>
      </c>
      <c r="BT113" s="57" t="s">
        <v>1283</v>
      </c>
      <c r="BU113" s="57" t="s">
        <v>1283</v>
      </c>
      <c r="BV113" s="70">
        <f t="shared" si="226"/>
        <v>37</v>
      </c>
      <c r="BW113" s="71">
        <f t="shared" si="227"/>
        <v>70</v>
      </c>
      <c r="BX113" s="72">
        <f t="shared" si="228"/>
        <v>74</v>
      </c>
      <c r="BY113" s="71">
        <f t="shared" si="229"/>
        <v>106</v>
      </c>
      <c r="BZ113" s="72">
        <f t="shared" si="230"/>
        <v>110</v>
      </c>
      <c r="CA113" s="71">
        <f t="shared" si="231"/>
        <v>146</v>
      </c>
      <c r="CB113" s="72">
        <f t="shared" si="232"/>
        <v>154</v>
      </c>
      <c r="CC113" s="71">
        <f t="shared" si="233"/>
        <v>199</v>
      </c>
      <c r="CD113" s="72">
        <f t="shared" si="234"/>
        <v>204</v>
      </c>
      <c r="CE113" s="71">
        <f t="shared" si="235"/>
        <v>289</v>
      </c>
      <c r="CF113" s="72">
        <f t="shared" si="236"/>
        <v>321</v>
      </c>
      <c r="CG113" s="71">
        <f t="shared" si="237"/>
        <v>346</v>
      </c>
      <c r="CH113" s="70">
        <f t="shared" si="238"/>
        <v>69</v>
      </c>
      <c r="CI113" s="71">
        <f t="shared" si="239"/>
        <v>73</v>
      </c>
      <c r="CJ113" s="72">
        <f t="shared" si="240"/>
        <v>105</v>
      </c>
      <c r="CK113" s="72">
        <f t="shared" si="241"/>
        <v>109</v>
      </c>
      <c r="CL113" s="72">
        <f t="shared" si="242"/>
        <v>145</v>
      </c>
      <c r="CM113" s="72">
        <f t="shared" si="243"/>
        <v>153</v>
      </c>
      <c r="CN113" s="72">
        <f t="shared" si="244"/>
        <v>180</v>
      </c>
      <c r="CO113" s="72">
        <f t="shared" si="245"/>
        <v>201</v>
      </c>
      <c r="CP113" s="72">
        <f t="shared" si="246"/>
        <v>240</v>
      </c>
      <c r="CQ113" s="72">
        <f t="shared" si="247"/>
        <v>316</v>
      </c>
      <c r="CR113" s="72">
        <f t="shared" si="248"/>
        <v>345</v>
      </c>
      <c r="CS113" s="72">
        <f t="shared" si="249"/>
        <v>358</v>
      </c>
      <c r="CT113" s="23">
        <f t="shared" si="25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adrb1_melga_2YCZ</v>
      </c>
      <c r="B114" s="3" t="s">
        <v>907</v>
      </c>
      <c r="C114" s="3" t="s">
        <v>1023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K</v>
      </c>
      <c r="AM114" s="3">
        <v>240</v>
      </c>
      <c r="AN114" s="3" t="str">
        <f>IFERROR(MID(VLOOKUP($B114,Seqs!$A:$B,2,0),AO114,1),"")</f>
        <v>A</v>
      </c>
      <c r="AO114" s="3">
        <v>288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225"/>
        <v>255</v>
      </c>
      <c r="BD114" s="16" t="s">
        <v>23</v>
      </c>
      <c r="BE114" s="3" t="s">
        <v>1370</v>
      </c>
      <c r="BF114" s="118">
        <v>3.65</v>
      </c>
      <c r="BG114" s="49" t="s">
        <v>1373</v>
      </c>
      <c r="BH114" s="49" t="s">
        <v>1373</v>
      </c>
      <c r="BI114" s="1"/>
      <c r="BJ114" s="70" t="s">
        <v>1283</v>
      </c>
      <c r="BK114" s="57" t="s">
        <v>1283</v>
      </c>
      <c r="BL114" s="57" t="s">
        <v>1283</v>
      </c>
      <c r="BM114" s="57" t="s">
        <v>1283</v>
      </c>
      <c r="BN114" s="57" t="s">
        <v>1283</v>
      </c>
      <c r="BO114" s="57" t="s">
        <v>1283</v>
      </c>
      <c r="BP114" s="57" t="s">
        <v>1283</v>
      </c>
      <c r="BQ114" s="57" t="s">
        <v>1283</v>
      </c>
      <c r="BR114" s="57" t="s">
        <v>1283</v>
      </c>
      <c r="BS114" s="57" t="s">
        <v>1283</v>
      </c>
      <c r="BT114" s="57" t="s">
        <v>1283</v>
      </c>
      <c r="BU114" s="57" t="s">
        <v>1283</v>
      </c>
      <c r="BV114" s="70">
        <f t="shared" si="226"/>
        <v>33</v>
      </c>
      <c r="BW114" s="71">
        <f t="shared" si="227"/>
        <v>70</v>
      </c>
      <c r="BX114" s="72">
        <f t="shared" si="228"/>
        <v>74</v>
      </c>
      <c r="BY114" s="71">
        <f t="shared" si="229"/>
        <v>106</v>
      </c>
      <c r="BZ114" s="72">
        <f t="shared" si="230"/>
        <v>110</v>
      </c>
      <c r="CA114" s="71">
        <f t="shared" si="231"/>
        <v>146</v>
      </c>
      <c r="CB114" s="72">
        <f t="shared" si="232"/>
        <v>154</v>
      </c>
      <c r="CC114" s="71">
        <f t="shared" si="233"/>
        <v>199</v>
      </c>
      <c r="CD114" s="72">
        <f t="shared" si="234"/>
        <v>204</v>
      </c>
      <c r="CE114" s="71">
        <f t="shared" si="235"/>
        <v>288</v>
      </c>
      <c r="CF114" s="72">
        <f t="shared" si="236"/>
        <v>321</v>
      </c>
      <c r="CG114" s="71">
        <f t="shared" si="237"/>
        <v>346</v>
      </c>
      <c r="CH114" s="70">
        <f t="shared" si="238"/>
        <v>69</v>
      </c>
      <c r="CI114" s="71">
        <f t="shared" si="239"/>
        <v>73</v>
      </c>
      <c r="CJ114" s="72">
        <f t="shared" si="240"/>
        <v>105</v>
      </c>
      <c r="CK114" s="72">
        <f t="shared" si="241"/>
        <v>109</v>
      </c>
      <c r="CL114" s="72">
        <f t="shared" si="242"/>
        <v>145</v>
      </c>
      <c r="CM114" s="72">
        <f t="shared" si="243"/>
        <v>153</v>
      </c>
      <c r="CN114" s="72">
        <f t="shared" si="244"/>
        <v>180</v>
      </c>
      <c r="CO114" s="72">
        <f t="shared" si="245"/>
        <v>201</v>
      </c>
      <c r="CP114" s="72">
        <f t="shared" si="246"/>
        <v>240</v>
      </c>
      <c r="CQ114" s="72">
        <f t="shared" si="247"/>
        <v>316</v>
      </c>
      <c r="CR114" s="72">
        <f t="shared" si="248"/>
        <v>345</v>
      </c>
      <c r="CS114" s="72">
        <f t="shared" si="249"/>
        <v>358</v>
      </c>
      <c r="CT114" s="23">
        <f t="shared" si="25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adrb1_melga_3ZPQ</v>
      </c>
      <c r="B115" s="3" t="s">
        <v>907</v>
      </c>
      <c r="C115" s="3" t="s">
        <v>1033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225"/>
        <v>266</v>
      </c>
      <c r="BD115" s="4" t="s">
        <v>23</v>
      </c>
      <c r="BE115" s="3" t="s">
        <v>1370</v>
      </c>
      <c r="BF115" s="118">
        <v>2.8</v>
      </c>
      <c r="BG115" s="49" t="s">
        <v>1373</v>
      </c>
      <c r="BH115" s="49" t="s">
        <v>1373</v>
      </c>
      <c r="BI115" s="1"/>
      <c r="BJ115" s="70" t="s">
        <v>1283</v>
      </c>
      <c r="BK115" s="57" t="s">
        <v>1283</v>
      </c>
      <c r="BL115" s="57" t="s">
        <v>1283</v>
      </c>
      <c r="BM115" s="57" t="s">
        <v>1283</v>
      </c>
      <c r="BN115" s="57" t="s">
        <v>1283</v>
      </c>
      <c r="BO115" s="57" t="s">
        <v>1283</v>
      </c>
      <c r="BP115" s="57" t="s">
        <v>1283</v>
      </c>
      <c r="BQ115" s="57" t="s">
        <v>1283</v>
      </c>
      <c r="BR115" s="57" t="s">
        <v>1283</v>
      </c>
      <c r="BS115" s="57" t="s">
        <v>1283</v>
      </c>
      <c r="BT115" s="57" t="s">
        <v>1283</v>
      </c>
      <c r="BU115" s="57" t="s">
        <v>1283</v>
      </c>
      <c r="BV115" s="70">
        <f t="shared" si="226"/>
        <v>33</v>
      </c>
      <c r="BW115" s="71">
        <f t="shared" si="227"/>
        <v>70</v>
      </c>
      <c r="BX115" s="72">
        <f t="shared" si="228"/>
        <v>74</v>
      </c>
      <c r="BY115" s="71">
        <f t="shared" si="229"/>
        <v>106</v>
      </c>
      <c r="BZ115" s="72">
        <f t="shared" si="230"/>
        <v>110</v>
      </c>
      <c r="CA115" s="71">
        <f t="shared" si="231"/>
        <v>146</v>
      </c>
      <c r="CB115" s="72">
        <f t="shared" si="232"/>
        <v>154</v>
      </c>
      <c r="CC115" s="71">
        <f t="shared" si="233"/>
        <v>199</v>
      </c>
      <c r="CD115" s="72">
        <f t="shared" si="234"/>
        <v>204</v>
      </c>
      <c r="CE115" s="71">
        <f t="shared" si="235"/>
        <v>275</v>
      </c>
      <c r="CF115" s="72">
        <f t="shared" si="236"/>
        <v>321</v>
      </c>
      <c r="CG115" s="71">
        <f t="shared" si="237"/>
        <v>346</v>
      </c>
      <c r="CH115" s="70">
        <f t="shared" si="238"/>
        <v>69</v>
      </c>
      <c r="CI115" s="71">
        <f t="shared" si="239"/>
        <v>73</v>
      </c>
      <c r="CJ115" s="72">
        <f t="shared" si="240"/>
        <v>105</v>
      </c>
      <c r="CK115" s="72">
        <f t="shared" si="241"/>
        <v>109</v>
      </c>
      <c r="CL115" s="72">
        <f t="shared" si="242"/>
        <v>145</v>
      </c>
      <c r="CM115" s="72">
        <f t="shared" si="243"/>
        <v>153</v>
      </c>
      <c r="CN115" s="72">
        <f t="shared" si="244"/>
        <v>180</v>
      </c>
      <c r="CO115" s="72">
        <f t="shared" si="245"/>
        <v>201</v>
      </c>
      <c r="CP115" s="72">
        <f t="shared" si="246"/>
        <v>238</v>
      </c>
      <c r="CQ115" s="72">
        <f t="shared" si="247"/>
        <v>316</v>
      </c>
      <c r="CR115" s="72">
        <f t="shared" si="248"/>
        <v>345</v>
      </c>
      <c r="CS115" s="72">
        <f t="shared" si="249"/>
        <v>358</v>
      </c>
      <c r="CT115" s="23">
        <f t="shared" si="25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559"/>
        <v>adrb1_melga_3ZPR</v>
      </c>
      <c r="B116" s="3" t="s">
        <v>907</v>
      </c>
      <c r="C116" s="3" t="s">
        <v>1034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I</v>
      </c>
      <c r="AM116" s="3">
        <v>238</v>
      </c>
      <c r="AN116" s="3" t="str">
        <f>IFERROR(MID(VLOOKUP($B116,Seqs!$A:$B,2,0),AO116,1),"")</f>
        <v>R</v>
      </c>
      <c r="AO116" s="3">
        <v>275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60"/>
        <v>1</v>
      </c>
      <c r="BC116" s="23">
        <f t="shared" si="225"/>
        <v>266</v>
      </c>
      <c r="BD116" s="4" t="s">
        <v>23</v>
      </c>
      <c r="BE116" s="3" t="s">
        <v>1370</v>
      </c>
      <c r="BF116" s="118">
        <v>2.7</v>
      </c>
      <c r="BG116" s="49" t="s">
        <v>1373</v>
      </c>
      <c r="BH116" s="49" t="s">
        <v>1373</v>
      </c>
      <c r="BI116" s="1"/>
      <c r="BJ116" s="70" t="s">
        <v>1283</v>
      </c>
      <c r="BK116" s="57" t="s">
        <v>1283</v>
      </c>
      <c r="BL116" s="57" t="s">
        <v>1283</v>
      </c>
      <c r="BM116" s="57" t="s">
        <v>1283</v>
      </c>
      <c r="BN116" s="57" t="s">
        <v>1283</v>
      </c>
      <c r="BO116" s="57" t="s">
        <v>1283</v>
      </c>
      <c r="BP116" s="57" t="s">
        <v>1283</v>
      </c>
      <c r="BQ116" s="57" t="s">
        <v>1283</v>
      </c>
      <c r="BR116" s="57" t="s">
        <v>1283</v>
      </c>
      <c r="BS116" s="57" t="s">
        <v>1283</v>
      </c>
      <c r="BT116" s="57" t="s">
        <v>1283</v>
      </c>
      <c r="BU116" s="57" t="s">
        <v>1283</v>
      </c>
      <c r="BV116" s="70">
        <f t="shared" si="226"/>
        <v>33</v>
      </c>
      <c r="BW116" s="71">
        <f t="shared" si="227"/>
        <v>70</v>
      </c>
      <c r="BX116" s="72">
        <f t="shared" si="228"/>
        <v>74</v>
      </c>
      <c r="BY116" s="71">
        <f t="shared" si="229"/>
        <v>106</v>
      </c>
      <c r="BZ116" s="72">
        <f t="shared" si="230"/>
        <v>110</v>
      </c>
      <c r="CA116" s="71">
        <f t="shared" si="231"/>
        <v>146</v>
      </c>
      <c r="CB116" s="72">
        <f t="shared" si="232"/>
        <v>154</v>
      </c>
      <c r="CC116" s="71">
        <f t="shared" si="233"/>
        <v>199</v>
      </c>
      <c r="CD116" s="72">
        <f t="shared" si="234"/>
        <v>204</v>
      </c>
      <c r="CE116" s="71">
        <f t="shared" si="235"/>
        <v>275</v>
      </c>
      <c r="CF116" s="72">
        <f t="shared" si="236"/>
        <v>321</v>
      </c>
      <c r="CG116" s="71">
        <f t="shared" si="237"/>
        <v>346</v>
      </c>
      <c r="CH116" s="70">
        <f t="shared" si="238"/>
        <v>69</v>
      </c>
      <c r="CI116" s="71">
        <f t="shared" si="239"/>
        <v>73</v>
      </c>
      <c r="CJ116" s="72">
        <f t="shared" si="240"/>
        <v>105</v>
      </c>
      <c r="CK116" s="72">
        <f t="shared" si="241"/>
        <v>109</v>
      </c>
      <c r="CL116" s="72">
        <f t="shared" si="242"/>
        <v>145</v>
      </c>
      <c r="CM116" s="72">
        <f t="shared" si="243"/>
        <v>153</v>
      </c>
      <c r="CN116" s="72">
        <f t="shared" si="244"/>
        <v>180</v>
      </c>
      <c r="CO116" s="72">
        <f t="shared" si="245"/>
        <v>201</v>
      </c>
      <c r="CP116" s="72">
        <f t="shared" si="246"/>
        <v>238</v>
      </c>
      <c r="CQ116" s="72">
        <f t="shared" si="247"/>
        <v>316</v>
      </c>
      <c r="CR116" s="72">
        <f t="shared" si="248"/>
        <v>345</v>
      </c>
      <c r="CS116" s="72">
        <f t="shared" si="249"/>
        <v>358</v>
      </c>
      <c r="CT116" s="23">
        <f t="shared" si="25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59"/>
        <v>adrb1_melga_4AMI</v>
      </c>
      <c r="B117" s="3" t="s">
        <v>907</v>
      </c>
      <c r="C117" s="3" t="s">
        <v>1035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E</v>
      </c>
      <c r="AM117" s="3">
        <v>236</v>
      </c>
      <c r="AN117" s="3" t="str">
        <f>IFERROR(MID(VLOOKUP($B117,Seqs!$A:$B,2,0),AO117,1),"")</f>
        <v>A</v>
      </c>
      <c r="AO117" s="3">
        <v>288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60"/>
        <v>1</v>
      </c>
      <c r="BC117" s="23">
        <f t="shared" si="225"/>
        <v>251</v>
      </c>
      <c r="BD117" s="4" t="s">
        <v>23</v>
      </c>
      <c r="BE117" s="3" t="s">
        <v>1370</v>
      </c>
      <c r="BF117" s="118">
        <v>3.2</v>
      </c>
      <c r="BG117" s="49" t="s">
        <v>1373</v>
      </c>
      <c r="BH117" s="49" t="s">
        <v>1373</v>
      </c>
      <c r="BI117" s="1"/>
      <c r="BJ117" s="70" t="s">
        <v>1283</v>
      </c>
      <c r="BK117" s="57" t="s">
        <v>1283</v>
      </c>
      <c r="BL117" s="57" t="s">
        <v>1283</v>
      </c>
      <c r="BM117" s="57" t="s">
        <v>1283</v>
      </c>
      <c r="BN117" s="57" t="s">
        <v>1283</v>
      </c>
      <c r="BO117" s="57" t="s">
        <v>1283</v>
      </c>
      <c r="BP117" s="57" t="s">
        <v>1283</v>
      </c>
      <c r="BQ117" s="57" t="s">
        <v>1283</v>
      </c>
      <c r="BR117" s="57" t="s">
        <v>1283</v>
      </c>
      <c r="BS117" s="57" t="s">
        <v>1283</v>
      </c>
      <c r="BT117" s="57" t="s">
        <v>1283</v>
      </c>
      <c r="BU117" s="57" t="s">
        <v>1283</v>
      </c>
      <c r="BV117" s="70">
        <f t="shared" si="226"/>
        <v>33</v>
      </c>
      <c r="BW117" s="71">
        <f t="shared" si="227"/>
        <v>70</v>
      </c>
      <c r="BX117" s="72">
        <f t="shared" si="228"/>
        <v>74</v>
      </c>
      <c r="BY117" s="71">
        <f t="shared" si="229"/>
        <v>106</v>
      </c>
      <c r="BZ117" s="72">
        <f t="shared" si="230"/>
        <v>110</v>
      </c>
      <c r="CA117" s="71">
        <f t="shared" si="231"/>
        <v>146</v>
      </c>
      <c r="CB117" s="72">
        <f t="shared" si="232"/>
        <v>154</v>
      </c>
      <c r="CC117" s="71">
        <f t="shared" si="233"/>
        <v>199</v>
      </c>
      <c r="CD117" s="72">
        <f t="shared" si="234"/>
        <v>204</v>
      </c>
      <c r="CE117" s="71">
        <f t="shared" si="235"/>
        <v>288</v>
      </c>
      <c r="CF117" s="72">
        <f t="shared" si="236"/>
        <v>321</v>
      </c>
      <c r="CG117" s="71">
        <f t="shared" si="237"/>
        <v>346</v>
      </c>
      <c r="CH117" s="70">
        <f t="shared" si="238"/>
        <v>69</v>
      </c>
      <c r="CI117" s="71">
        <f t="shared" si="239"/>
        <v>73</v>
      </c>
      <c r="CJ117" s="72">
        <f t="shared" si="240"/>
        <v>105</v>
      </c>
      <c r="CK117" s="72">
        <f t="shared" si="241"/>
        <v>109</v>
      </c>
      <c r="CL117" s="72">
        <f t="shared" si="242"/>
        <v>145</v>
      </c>
      <c r="CM117" s="72">
        <f t="shared" si="243"/>
        <v>153</v>
      </c>
      <c r="CN117" s="72">
        <f t="shared" si="244"/>
        <v>180</v>
      </c>
      <c r="CO117" s="72">
        <f t="shared" si="245"/>
        <v>201</v>
      </c>
      <c r="CP117" s="72">
        <f t="shared" si="246"/>
        <v>236</v>
      </c>
      <c r="CQ117" s="72">
        <f t="shared" si="247"/>
        <v>316</v>
      </c>
      <c r="CR117" s="72">
        <f t="shared" si="248"/>
        <v>345</v>
      </c>
      <c r="CS117" s="72">
        <f t="shared" si="249"/>
        <v>358</v>
      </c>
      <c r="CT117" s="23">
        <f t="shared" si="25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59"/>
        <v>adrb1_melga_4AMJ</v>
      </c>
      <c r="B118" s="3" t="s">
        <v>907</v>
      </c>
      <c r="C118" s="3" t="s">
        <v>1036</v>
      </c>
      <c r="D118" s="3" t="str">
        <f>IFERROR(MID(VLOOKUP($B118,Seqs!$A:$B,2,0),E118,1),"")</f>
        <v>A</v>
      </c>
      <c r="E118" s="3">
        <v>33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I</v>
      </c>
      <c r="AM118" s="3">
        <v>238</v>
      </c>
      <c r="AN118" s="3" t="str">
        <f>IFERROR(MID(VLOOKUP($B118,Seqs!$A:$B,2,0),AO118,1),"")</f>
        <v>R</v>
      </c>
      <c r="AO118" s="3">
        <v>275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60"/>
        <v>1</v>
      </c>
      <c r="BC118" s="23">
        <f t="shared" si="225"/>
        <v>266</v>
      </c>
      <c r="BD118" s="2" t="s">
        <v>1372</v>
      </c>
      <c r="BE118" s="3" t="s">
        <v>1370</v>
      </c>
      <c r="BF118" s="118">
        <v>2.2999999999999998</v>
      </c>
      <c r="BG118" s="49" t="s">
        <v>1373</v>
      </c>
      <c r="BH118" s="49" t="s">
        <v>1373</v>
      </c>
      <c r="BI118" s="1"/>
      <c r="BJ118" s="70" t="s">
        <v>1283</v>
      </c>
      <c r="BK118" s="57" t="s">
        <v>1283</v>
      </c>
      <c r="BL118" s="57" t="s">
        <v>1283</v>
      </c>
      <c r="BM118" s="57" t="s">
        <v>1283</v>
      </c>
      <c r="BN118" s="57" t="s">
        <v>1283</v>
      </c>
      <c r="BO118" s="57" t="s">
        <v>1283</v>
      </c>
      <c r="BP118" s="57" t="s">
        <v>1283</v>
      </c>
      <c r="BQ118" s="57" t="s">
        <v>1283</v>
      </c>
      <c r="BR118" s="57" t="s">
        <v>1283</v>
      </c>
      <c r="BS118" s="57" t="s">
        <v>1283</v>
      </c>
      <c r="BT118" s="57" t="s">
        <v>1283</v>
      </c>
      <c r="BU118" s="57" t="s">
        <v>1283</v>
      </c>
      <c r="BV118" s="70">
        <f t="shared" si="226"/>
        <v>33</v>
      </c>
      <c r="BW118" s="71">
        <f t="shared" si="227"/>
        <v>70</v>
      </c>
      <c r="BX118" s="72">
        <f t="shared" si="228"/>
        <v>74</v>
      </c>
      <c r="BY118" s="71">
        <f t="shared" si="229"/>
        <v>106</v>
      </c>
      <c r="BZ118" s="72">
        <f t="shared" si="230"/>
        <v>110</v>
      </c>
      <c r="CA118" s="71">
        <f t="shared" si="231"/>
        <v>146</v>
      </c>
      <c r="CB118" s="72">
        <f t="shared" si="232"/>
        <v>154</v>
      </c>
      <c r="CC118" s="71">
        <f t="shared" si="233"/>
        <v>199</v>
      </c>
      <c r="CD118" s="72">
        <f t="shared" si="234"/>
        <v>204</v>
      </c>
      <c r="CE118" s="71">
        <f t="shared" si="235"/>
        <v>275</v>
      </c>
      <c r="CF118" s="72">
        <f t="shared" si="236"/>
        <v>321</v>
      </c>
      <c r="CG118" s="71">
        <f t="shared" si="237"/>
        <v>346</v>
      </c>
      <c r="CH118" s="70">
        <f t="shared" si="238"/>
        <v>69</v>
      </c>
      <c r="CI118" s="71">
        <f t="shared" si="239"/>
        <v>73</v>
      </c>
      <c r="CJ118" s="72">
        <f t="shared" si="240"/>
        <v>105</v>
      </c>
      <c r="CK118" s="72">
        <f t="shared" si="241"/>
        <v>109</v>
      </c>
      <c r="CL118" s="72">
        <f t="shared" si="242"/>
        <v>145</v>
      </c>
      <c r="CM118" s="72">
        <f t="shared" si="243"/>
        <v>153</v>
      </c>
      <c r="CN118" s="72">
        <f t="shared" si="244"/>
        <v>180</v>
      </c>
      <c r="CO118" s="72">
        <f t="shared" si="245"/>
        <v>201</v>
      </c>
      <c r="CP118" s="72">
        <f t="shared" si="246"/>
        <v>238</v>
      </c>
      <c r="CQ118" s="72">
        <f t="shared" si="247"/>
        <v>316</v>
      </c>
      <c r="CR118" s="72">
        <f t="shared" si="248"/>
        <v>345</v>
      </c>
      <c r="CS118" s="72">
        <f t="shared" si="249"/>
        <v>358</v>
      </c>
      <c r="CT118" s="23">
        <f t="shared" si="25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59"/>
        <v>adrb1_melga_4BVN</v>
      </c>
      <c r="B119" s="3" t="s">
        <v>907</v>
      </c>
      <c r="C119" s="3" t="s">
        <v>82</v>
      </c>
      <c r="D119" s="3" t="str">
        <f>IFERROR(MID(VLOOKUP($B119,Seqs!$A:$B,2,0),E119,1),"")</f>
        <v>S</v>
      </c>
      <c r="E119" s="3">
        <v>37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G</v>
      </c>
      <c r="O119" s="3">
        <v>105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R</v>
      </c>
      <c r="AM119" s="3">
        <v>239</v>
      </c>
      <c r="AN119" s="3" t="str">
        <f>IFERROR(MID(VLOOKUP($B119,Seqs!$A:$B,2,0),AO119,1),"")</f>
        <v>R</v>
      </c>
      <c r="AO119" s="3">
        <v>279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C</v>
      </c>
      <c r="AY119" s="3">
        <v>358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60"/>
        <v>1</v>
      </c>
      <c r="BC119" s="23">
        <f t="shared" ref="BC119:BC211" si="981">_xlfn.AGGREGATE(9,6,CH119:CS119)-_xlfn.AGGREGATE(9,6,BV119:CG119)+12</f>
        <v>259</v>
      </c>
      <c r="BD119" s="4" t="s">
        <v>23</v>
      </c>
      <c r="BE119" s="3" t="s">
        <v>1370</v>
      </c>
      <c r="BF119" s="118">
        <v>2.1</v>
      </c>
      <c r="BG119" s="49" t="s">
        <v>1373</v>
      </c>
      <c r="BH119" s="49" t="s">
        <v>1373</v>
      </c>
      <c r="BI119" s="1"/>
      <c r="BJ119" s="70" t="s">
        <v>1283</v>
      </c>
      <c r="BK119" s="57" t="s">
        <v>1283</v>
      </c>
      <c r="BL119" s="57" t="s">
        <v>1283</v>
      </c>
      <c r="BM119" s="57" t="s">
        <v>1283</v>
      </c>
      <c r="BN119" s="57" t="s">
        <v>1283</v>
      </c>
      <c r="BO119" s="57" t="s">
        <v>1283</v>
      </c>
      <c r="BP119" s="57" t="s">
        <v>1283</v>
      </c>
      <c r="BQ119" s="57" t="s">
        <v>1283</v>
      </c>
      <c r="BR119" s="57" t="s">
        <v>1283</v>
      </c>
      <c r="BS119" s="57" t="s">
        <v>1283</v>
      </c>
      <c r="BT119" s="57" t="s">
        <v>1283</v>
      </c>
      <c r="BU119" s="57" t="s">
        <v>1283</v>
      </c>
      <c r="BV119" s="70">
        <f t="shared" ref="BV119:BV211" si="982">E119</f>
        <v>37</v>
      </c>
      <c r="BW119" s="71">
        <f t="shared" ref="BW119:BW211" si="983">I119</f>
        <v>70</v>
      </c>
      <c r="BX119" s="72">
        <f t="shared" ref="BX119:BX211" si="984">M119</f>
        <v>74</v>
      </c>
      <c r="BY119" s="71">
        <f t="shared" ref="BY119:BY211" si="985">Q119</f>
        <v>106</v>
      </c>
      <c r="BZ119" s="72">
        <f t="shared" ref="BZ119:BZ211" si="986">U119</f>
        <v>110</v>
      </c>
      <c r="CA119" s="71">
        <f t="shared" ref="CA119:CA211" si="987">Y119</f>
        <v>146</v>
      </c>
      <c r="CB119" s="72">
        <f t="shared" ref="CB119:CB211" si="988">AC119</f>
        <v>154</v>
      </c>
      <c r="CC119" s="71">
        <f t="shared" ref="CC119:CC211" si="989">AG119</f>
        <v>199</v>
      </c>
      <c r="CD119" s="72">
        <f t="shared" ref="CD119:CD211" si="990">AK119</f>
        <v>204</v>
      </c>
      <c r="CE119" s="71">
        <f t="shared" ref="CE119:CE211" si="991">AO119</f>
        <v>279</v>
      </c>
      <c r="CF119" s="72">
        <f t="shared" ref="CF119:CF211" si="992">AS119</f>
        <v>321</v>
      </c>
      <c r="CG119" s="71">
        <f t="shared" ref="CG119:CG211" si="993">AW119</f>
        <v>346</v>
      </c>
      <c r="CH119" s="70">
        <f t="shared" ref="CH119:CH211" si="994">G119</f>
        <v>69</v>
      </c>
      <c r="CI119" s="71">
        <f t="shared" ref="CI119:CI211" si="995">K119</f>
        <v>73</v>
      </c>
      <c r="CJ119" s="72">
        <f t="shared" ref="CJ119:CJ211" si="996">O119</f>
        <v>105</v>
      </c>
      <c r="CK119" s="72">
        <f t="shared" ref="CK119:CK211" si="997">S119</f>
        <v>109</v>
      </c>
      <c r="CL119" s="72">
        <f t="shared" ref="CL119:CL211" si="998">W119</f>
        <v>145</v>
      </c>
      <c r="CM119" s="72">
        <f t="shared" ref="CM119:CM211" si="999">AA119</f>
        <v>153</v>
      </c>
      <c r="CN119" s="72">
        <f t="shared" ref="CN119:CN211" si="1000">AE119</f>
        <v>180</v>
      </c>
      <c r="CO119" s="72">
        <f t="shared" ref="CO119:CO211" si="1001">AI119</f>
        <v>201</v>
      </c>
      <c r="CP119" s="72">
        <f t="shared" ref="CP119:CP211" si="1002">AM119</f>
        <v>239</v>
      </c>
      <c r="CQ119" s="72">
        <f t="shared" ref="CQ119:CQ211" si="1003">AQ119</f>
        <v>316</v>
      </c>
      <c r="CR119" s="72">
        <f t="shared" ref="CR119:CR211" si="1004">AU119</f>
        <v>345</v>
      </c>
      <c r="CS119" s="72">
        <f t="shared" ref="CS119:CS211" si="1005">AY119</f>
        <v>358</v>
      </c>
      <c r="CT119" s="23">
        <f t="shared" ref="CT119:CT211" si="1006">M119-K119</f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59"/>
        <v>adrb1_melga_4GPO</v>
      </c>
      <c r="B120" s="3" t="s">
        <v>907</v>
      </c>
      <c r="C120" s="3" t="s">
        <v>1037</v>
      </c>
      <c r="D120" s="3" t="str">
        <f>IFERROR(MID(VLOOKUP($B120,Seqs!$A:$B,2,0),E120,1),"")</f>
        <v>S</v>
      </c>
      <c r="E120" s="3">
        <v>37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R</v>
      </c>
      <c r="O120" s="3">
        <v>104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E</v>
      </c>
      <c r="AM120" s="3">
        <v>233</v>
      </c>
      <c r="AN120" s="3" t="str">
        <f>IFERROR(MID(VLOOKUP($B120,Seqs!$A:$B,2,0),AO120,1),"")</f>
        <v>M</v>
      </c>
      <c r="AO120" s="3">
        <v>283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L</v>
      </c>
      <c r="AY120" s="3">
        <v>356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60"/>
        <v>1</v>
      </c>
      <c r="BC120" s="23">
        <f t="shared" si="981"/>
        <v>246</v>
      </c>
      <c r="BD120" s="4" t="s">
        <v>23</v>
      </c>
      <c r="BE120" s="3" t="s">
        <v>1370</v>
      </c>
      <c r="BF120" s="118">
        <v>3.5</v>
      </c>
      <c r="BG120" s="49" t="s">
        <v>1373</v>
      </c>
      <c r="BH120" s="49" t="s">
        <v>1373</v>
      </c>
      <c r="BI120" s="1"/>
      <c r="BJ120" s="70" t="s">
        <v>1283</v>
      </c>
      <c r="BK120" s="57" t="s">
        <v>1283</v>
      </c>
      <c r="BL120" s="57" t="s">
        <v>1283</v>
      </c>
      <c r="BM120" s="57" t="s">
        <v>1283</v>
      </c>
      <c r="BN120" s="57" t="s">
        <v>1283</v>
      </c>
      <c r="BO120" s="57" t="s">
        <v>1283</v>
      </c>
      <c r="BP120" s="57" t="s">
        <v>1283</v>
      </c>
      <c r="BQ120" s="57" t="s">
        <v>1283</v>
      </c>
      <c r="BR120" s="57" t="s">
        <v>1283</v>
      </c>
      <c r="BS120" s="57" t="s">
        <v>1283</v>
      </c>
      <c r="BT120" s="57" t="s">
        <v>1283</v>
      </c>
      <c r="BU120" s="57" t="s">
        <v>1283</v>
      </c>
      <c r="BV120" s="70">
        <f t="shared" si="982"/>
        <v>37</v>
      </c>
      <c r="BW120" s="71">
        <f t="shared" si="983"/>
        <v>70</v>
      </c>
      <c r="BX120" s="72">
        <f t="shared" si="984"/>
        <v>74</v>
      </c>
      <c r="BY120" s="71">
        <f t="shared" si="985"/>
        <v>106</v>
      </c>
      <c r="BZ120" s="72">
        <f t="shared" si="986"/>
        <v>110</v>
      </c>
      <c r="CA120" s="71">
        <f t="shared" si="987"/>
        <v>146</v>
      </c>
      <c r="CB120" s="72">
        <f t="shared" si="988"/>
        <v>154</v>
      </c>
      <c r="CC120" s="71">
        <f t="shared" si="989"/>
        <v>199</v>
      </c>
      <c r="CD120" s="72">
        <f t="shared" si="990"/>
        <v>204</v>
      </c>
      <c r="CE120" s="71">
        <f t="shared" si="991"/>
        <v>283</v>
      </c>
      <c r="CF120" s="72">
        <f t="shared" si="992"/>
        <v>321</v>
      </c>
      <c r="CG120" s="71">
        <f t="shared" si="993"/>
        <v>346</v>
      </c>
      <c r="CH120" s="70">
        <f t="shared" si="994"/>
        <v>69</v>
      </c>
      <c r="CI120" s="71">
        <f t="shared" si="995"/>
        <v>73</v>
      </c>
      <c r="CJ120" s="72">
        <f t="shared" si="996"/>
        <v>104</v>
      </c>
      <c r="CK120" s="72">
        <f t="shared" si="997"/>
        <v>109</v>
      </c>
      <c r="CL120" s="72">
        <f t="shared" si="998"/>
        <v>145</v>
      </c>
      <c r="CM120" s="72">
        <f t="shared" si="999"/>
        <v>153</v>
      </c>
      <c r="CN120" s="72">
        <f t="shared" si="1000"/>
        <v>180</v>
      </c>
      <c r="CO120" s="72">
        <f t="shared" si="1001"/>
        <v>201</v>
      </c>
      <c r="CP120" s="72">
        <f t="shared" si="1002"/>
        <v>233</v>
      </c>
      <c r="CQ120" s="72">
        <f t="shared" si="1003"/>
        <v>316</v>
      </c>
      <c r="CR120" s="72">
        <f t="shared" si="1004"/>
        <v>345</v>
      </c>
      <c r="CS120" s="72">
        <f t="shared" si="1005"/>
        <v>356</v>
      </c>
      <c r="CT120" s="23">
        <f t="shared" si="1006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59"/>
        <v>adrb1_melga_5A8E</v>
      </c>
      <c r="B121" s="3" t="s">
        <v>907</v>
      </c>
      <c r="C121" s="3" t="s">
        <v>1054</v>
      </c>
      <c r="D121" s="3" t="str">
        <f>IFERROR(MID(VLOOKUP($B121,Seqs!$A:$B,2,0),E121,1),"")</f>
        <v>S</v>
      </c>
      <c r="E121" s="3">
        <v>37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R</v>
      </c>
      <c r="AM121" s="3">
        <v>239</v>
      </c>
      <c r="AN121" s="3" t="str">
        <f>IFERROR(MID(VLOOKUP($B121,Seqs!$A:$B,2,0),AO121,1),"")</f>
        <v>R</v>
      </c>
      <c r="AO121" s="3">
        <v>279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K</v>
      </c>
      <c r="AY121" s="3">
        <v>354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60"/>
        <v>1</v>
      </c>
      <c r="BC121" s="23">
        <f t="shared" si="981"/>
        <v>255</v>
      </c>
      <c r="BD121" s="4" t="s">
        <v>23</v>
      </c>
      <c r="BE121" s="3" t="s">
        <v>1370</v>
      </c>
      <c r="BF121" s="118">
        <v>2.42</v>
      </c>
      <c r="BG121" s="49" t="s">
        <v>1373</v>
      </c>
      <c r="BH121" s="49" t="s">
        <v>1373</v>
      </c>
      <c r="BI121" s="1"/>
      <c r="BJ121" s="70" t="s">
        <v>1283</v>
      </c>
      <c r="BK121" s="57" t="s">
        <v>1283</v>
      </c>
      <c r="BL121" s="57" t="s">
        <v>1283</v>
      </c>
      <c r="BM121" s="57" t="s">
        <v>1283</v>
      </c>
      <c r="BN121" s="57" t="s">
        <v>1283</v>
      </c>
      <c r="BO121" s="57" t="s">
        <v>1283</v>
      </c>
      <c r="BP121" s="57" t="s">
        <v>1283</v>
      </c>
      <c r="BQ121" s="57" t="s">
        <v>1283</v>
      </c>
      <c r="BR121" s="57" t="s">
        <v>1283</v>
      </c>
      <c r="BS121" s="57" t="s">
        <v>1283</v>
      </c>
      <c r="BT121" s="57" t="s">
        <v>1283</v>
      </c>
      <c r="BU121" s="57" t="s">
        <v>1283</v>
      </c>
      <c r="BV121" s="70">
        <f t="shared" si="982"/>
        <v>37</v>
      </c>
      <c r="BW121" s="71">
        <f t="shared" si="983"/>
        <v>70</v>
      </c>
      <c r="BX121" s="72">
        <f t="shared" si="984"/>
        <v>74</v>
      </c>
      <c r="BY121" s="71">
        <f t="shared" si="985"/>
        <v>106</v>
      </c>
      <c r="BZ121" s="72">
        <f t="shared" si="986"/>
        <v>110</v>
      </c>
      <c r="CA121" s="71">
        <f t="shared" si="987"/>
        <v>146</v>
      </c>
      <c r="CB121" s="72">
        <f t="shared" si="988"/>
        <v>154</v>
      </c>
      <c r="CC121" s="71">
        <f t="shared" si="989"/>
        <v>199</v>
      </c>
      <c r="CD121" s="72">
        <f t="shared" si="990"/>
        <v>204</v>
      </c>
      <c r="CE121" s="71">
        <f t="shared" si="991"/>
        <v>279</v>
      </c>
      <c r="CF121" s="72">
        <f t="shared" si="992"/>
        <v>321</v>
      </c>
      <c r="CG121" s="71">
        <f t="shared" si="993"/>
        <v>346</v>
      </c>
      <c r="CH121" s="70">
        <f t="shared" si="994"/>
        <v>69</v>
      </c>
      <c r="CI121" s="71">
        <f t="shared" si="995"/>
        <v>73</v>
      </c>
      <c r="CJ121" s="72">
        <f t="shared" si="996"/>
        <v>105</v>
      </c>
      <c r="CK121" s="72">
        <f t="shared" si="997"/>
        <v>109</v>
      </c>
      <c r="CL121" s="72">
        <f t="shared" si="998"/>
        <v>145</v>
      </c>
      <c r="CM121" s="72">
        <f t="shared" si="999"/>
        <v>153</v>
      </c>
      <c r="CN121" s="72">
        <f t="shared" si="1000"/>
        <v>180</v>
      </c>
      <c r="CO121" s="72">
        <f t="shared" si="1001"/>
        <v>201</v>
      </c>
      <c r="CP121" s="72">
        <f t="shared" si="1002"/>
        <v>239</v>
      </c>
      <c r="CQ121" s="72">
        <f t="shared" si="1003"/>
        <v>316</v>
      </c>
      <c r="CR121" s="72">
        <f t="shared" si="1004"/>
        <v>345</v>
      </c>
      <c r="CS121" s="72">
        <f t="shared" si="1005"/>
        <v>354</v>
      </c>
      <c r="CT121" s="23">
        <f t="shared" si="100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59"/>
        <v>adrb1_melga_5F8U</v>
      </c>
      <c r="B122" s="3" t="s">
        <v>907</v>
      </c>
      <c r="C122" s="3" t="s">
        <v>1350</v>
      </c>
      <c r="D122" s="3" t="str">
        <f>IFERROR(MID(VLOOKUP($B122,Seqs!$A:$B,2,0),E122,1),"")</f>
        <v>W</v>
      </c>
      <c r="E122" s="3">
        <v>40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G</v>
      </c>
      <c r="O122" s="3">
        <v>105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9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Q</v>
      </c>
      <c r="AM122" s="3">
        <v>237</v>
      </c>
      <c r="AN122" s="3" t="str">
        <f>IFERROR(MID(VLOOKUP($B122,Seqs!$A:$B,2,0),AO122,1),"")</f>
        <v>R</v>
      </c>
      <c r="AO122" s="3">
        <v>284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C</v>
      </c>
      <c r="AY122" s="3">
        <v>358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60"/>
        <v>1</v>
      </c>
      <c r="BC122" s="23">
        <f t="shared" si="981"/>
        <v>249</v>
      </c>
      <c r="BD122" s="5" t="s">
        <v>23</v>
      </c>
      <c r="BE122" s="3" t="s">
        <v>1370</v>
      </c>
      <c r="BF122" s="118">
        <v>3.35</v>
      </c>
      <c r="BG122" s="49" t="s">
        <v>1373</v>
      </c>
      <c r="BH122" s="49" t="s">
        <v>1373</v>
      </c>
      <c r="BI122" s="1"/>
      <c r="BJ122" s="70" t="s">
        <v>1283</v>
      </c>
      <c r="BK122" s="57" t="s">
        <v>1283</v>
      </c>
      <c r="BL122" s="57" t="s">
        <v>1283</v>
      </c>
      <c r="BM122" s="57" t="s">
        <v>1283</v>
      </c>
      <c r="BN122" s="57" t="s">
        <v>1283</v>
      </c>
      <c r="BO122" s="57" t="s">
        <v>1283</v>
      </c>
      <c r="BP122" s="57" t="s">
        <v>1283</v>
      </c>
      <c r="BQ122" s="57" t="s">
        <v>1283</v>
      </c>
      <c r="BR122" s="57" t="s">
        <v>1283</v>
      </c>
      <c r="BS122" s="57" t="s">
        <v>1283</v>
      </c>
      <c r="BT122" s="57" t="s">
        <v>1283</v>
      </c>
      <c r="BU122" s="57" t="s">
        <v>1283</v>
      </c>
      <c r="BV122" s="70">
        <f t="shared" si="982"/>
        <v>40</v>
      </c>
      <c r="BW122" s="71">
        <f t="shared" si="983"/>
        <v>70</v>
      </c>
      <c r="BX122" s="72">
        <f t="shared" si="984"/>
        <v>74</v>
      </c>
      <c r="BY122" s="71">
        <f t="shared" si="985"/>
        <v>106</v>
      </c>
      <c r="BZ122" s="72">
        <f t="shared" si="986"/>
        <v>110</v>
      </c>
      <c r="CA122" s="71">
        <f t="shared" si="987"/>
        <v>146</v>
      </c>
      <c r="CB122" s="72">
        <f t="shared" si="988"/>
        <v>154</v>
      </c>
      <c r="CC122" s="71">
        <f t="shared" si="989"/>
        <v>199</v>
      </c>
      <c r="CD122" s="72">
        <f t="shared" si="990"/>
        <v>204</v>
      </c>
      <c r="CE122" s="71">
        <f t="shared" si="991"/>
        <v>284</v>
      </c>
      <c r="CF122" s="72">
        <f t="shared" si="992"/>
        <v>321</v>
      </c>
      <c r="CG122" s="71">
        <f t="shared" si="993"/>
        <v>346</v>
      </c>
      <c r="CH122" s="70">
        <f t="shared" si="994"/>
        <v>69</v>
      </c>
      <c r="CI122" s="71">
        <f t="shared" si="995"/>
        <v>73</v>
      </c>
      <c r="CJ122" s="72">
        <f t="shared" si="996"/>
        <v>105</v>
      </c>
      <c r="CK122" s="72">
        <f t="shared" si="997"/>
        <v>109</v>
      </c>
      <c r="CL122" s="72">
        <f t="shared" si="998"/>
        <v>145</v>
      </c>
      <c r="CM122" s="72">
        <f t="shared" si="999"/>
        <v>153</v>
      </c>
      <c r="CN122" s="72">
        <f t="shared" si="1000"/>
        <v>180</v>
      </c>
      <c r="CO122" s="72">
        <f t="shared" si="1001"/>
        <v>201</v>
      </c>
      <c r="CP122" s="72">
        <f t="shared" si="1002"/>
        <v>237</v>
      </c>
      <c r="CQ122" s="72">
        <f t="shared" si="1003"/>
        <v>316</v>
      </c>
      <c r="CR122" s="72">
        <f t="shared" si="1004"/>
        <v>345</v>
      </c>
      <c r="CS122" s="72">
        <f t="shared" si="1005"/>
        <v>358</v>
      </c>
      <c r="CT122" s="23">
        <f t="shared" si="1006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" si="1007">CONCATENATE(B123,"_",C123)</f>
        <v>adrb1_melga_6H7J</v>
      </c>
      <c r="B123" s="3" t="s">
        <v>907</v>
      </c>
      <c r="C123" s="3" t="s">
        <v>1515</v>
      </c>
      <c r="D123" s="3" t="str">
        <f>IFERROR(MID(VLOOKUP($B123,Seqs!$A:$B,2,0),E123,1),"")</f>
        <v>W</v>
      </c>
      <c r="E123" s="3">
        <v>40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R</v>
      </c>
      <c r="O123" s="3">
        <v>104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3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S</v>
      </c>
      <c r="AM123" s="3">
        <v>273</v>
      </c>
      <c r="AN123" s="3" t="str">
        <f>IFERROR(MID(VLOOKUP($B123,Seqs!$A:$B,2,0),AO123,1),"")</f>
        <v>A</v>
      </c>
      <c r="AO123" s="3">
        <v>282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L</v>
      </c>
      <c r="AY123" s="3">
        <v>357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ref="BB123" si="1008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09">_xlfn.AGGREGATE(9,6,CH123:CS123)-_xlfn.AGGREGATE(9,6,BV123:CG123)+12</f>
        <v>285</v>
      </c>
      <c r="BD123" s="5" t="s">
        <v>23</v>
      </c>
      <c r="BE123" s="3" t="s">
        <v>1287</v>
      </c>
      <c r="BF123" s="118">
        <v>2.8</v>
      </c>
      <c r="BG123" s="49" t="s">
        <v>1</v>
      </c>
      <c r="BH123" s="49" t="s">
        <v>1</v>
      </c>
      <c r="BI123" s="1"/>
      <c r="BJ123" s="70" t="s">
        <v>1283</v>
      </c>
      <c r="BK123" s="57" t="s">
        <v>1283</v>
      </c>
      <c r="BL123" s="57" t="s">
        <v>1283</v>
      </c>
      <c r="BM123" s="57" t="s">
        <v>1283</v>
      </c>
      <c r="BN123" s="57" t="s">
        <v>1283</v>
      </c>
      <c r="BO123" s="57" t="s">
        <v>1283</v>
      </c>
      <c r="BP123" s="57" t="s">
        <v>1283</v>
      </c>
      <c r="BQ123" s="57" t="s">
        <v>1283</v>
      </c>
      <c r="BR123" s="57" t="s">
        <v>1283</v>
      </c>
      <c r="BS123" s="57" t="s">
        <v>1283</v>
      </c>
      <c r="BT123" s="57" t="s">
        <v>1283</v>
      </c>
      <c r="BU123" s="57" t="s">
        <v>1283</v>
      </c>
      <c r="BV123" s="70">
        <f t="shared" ref="BV123" si="1010">E123</f>
        <v>40</v>
      </c>
      <c r="BW123" s="71">
        <f t="shared" ref="BW123" si="1011">I123</f>
        <v>70</v>
      </c>
      <c r="BX123" s="72">
        <f t="shared" ref="BX123" si="1012">M123</f>
        <v>74</v>
      </c>
      <c r="BY123" s="71">
        <f t="shared" ref="BY123" si="1013">Q123</f>
        <v>106</v>
      </c>
      <c r="BZ123" s="72">
        <f t="shared" ref="BZ123" si="1014">U123</f>
        <v>110</v>
      </c>
      <c r="CA123" s="71">
        <f t="shared" ref="CA123" si="1015">Y123</f>
        <v>146</v>
      </c>
      <c r="CB123" s="72">
        <f t="shared" ref="CB123" si="1016">AC123</f>
        <v>154</v>
      </c>
      <c r="CC123" s="71">
        <f t="shared" ref="CC123" si="1017">AG123</f>
        <v>199</v>
      </c>
      <c r="CD123" s="72">
        <f t="shared" ref="CD123" si="1018">AK123</f>
        <v>204</v>
      </c>
      <c r="CE123" s="71">
        <f t="shared" ref="CE123" si="1019">AO123</f>
        <v>282</v>
      </c>
      <c r="CF123" s="72">
        <f t="shared" ref="CF123" si="1020">AS123</f>
        <v>321</v>
      </c>
      <c r="CG123" s="71">
        <f t="shared" ref="CG123" si="1021">AW123</f>
        <v>346</v>
      </c>
      <c r="CH123" s="70">
        <f t="shared" ref="CH123" si="1022">G123</f>
        <v>69</v>
      </c>
      <c r="CI123" s="71">
        <f t="shared" ref="CI123" si="1023">K123</f>
        <v>73</v>
      </c>
      <c r="CJ123" s="72">
        <f t="shared" ref="CJ123" si="1024">O123</f>
        <v>104</v>
      </c>
      <c r="CK123" s="72">
        <f t="shared" ref="CK123" si="1025">S123</f>
        <v>109</v>
      </c>
      <c r="CL123" s="72">
        <f t="shared" ref="CL123" si="1026">W123</f>
        <v>145</v>
      </c>
      <c r="CM123" s="72">
        <f t="shared" ref="CM123" si="1027">AA123</f>
        <v>153</v>
      </c>
      <c r="CN123" s="72">
        <f t="shared" ref="CN123" si="1028">AE123</f>
        <v>180</v>
      </c>
      <c r="CO123" s="72">
        <f t="shared" ref="CO123" si="1029">AI123</f>
        <v>201</v>
      </c>
      <c r="CP123" s="72">
        <f t="shared" ref="CP123" si="1030">AM123</f>
        <v>273</v>
      </c>
      <c r="CQ123" s="72">
        <f t="shared" ref="CQ123" si="1031">AQ123</f>
        <v>316</v>
      </c>
      <c r="CR123" s="72">
        <f t="shared" ref="CR123" si="1032">AU123</f>
        <v>345</v>
      </c>
      <c r="CS123" s="72">
        <f t="shared" ref="CS123" si="1033">AY123</f>
        <v>357</v>
      </c>
      <c r="CT123" s="23">
        <f t="shared" ref="CT123" si="1034">M123-K123</f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ref="A124" si="1035">CONCATENATE(B124,"_",C124)</f>
        <v>adrb1_melga_6H7L</v>
      </c>
      <c r="B124" s="3" t="s">
        <v>907</v>
      </c>
      <c r="C124" s="3" t="s">
        <v>1516</v>
      </c>
      <c r="D124" s="3" t="str">
        <f>IFERROR(MID(VLOOKUP($B124,Seqs!$A:$B,2,0),E124,1),"")</f>
        <v>W</v>
      </c>
      <c r="E124" s="3">
        <v>40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3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S</v>
      </c>
      <c r="AM124" s="3">
        <v>273</v>
      </c>
      <c r="AN124" s="3" t="str">
        <f>IFERROR(MID(VLOOKUP($B124,Seqs!$A:$B,2,0),AO124,1),"")</f>
        <v>A</v>
      </c>
      <c r="AO124" s="3">
        <v>282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L</v>
      </c>
      <c r="AY124" s="3">
        <v>357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ref="BB124" si="1036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1037">_xlfn.AGGREGATE(9,6,CH124:CS124)-_xlfn.AGGREGATE(9,6,BV124:CG124)+12</f>
        <v>286</v>
      </c>
      <c r="BD124" s="5" t="s">
        <v>23</v>
      </c>
      <c r="BE124" s="3" t="s">
        <v>1287</v>
      </c>
      <c r="BF124" s="118">
        <v>2.7</v>
      </c>
      <c r="BG124" s="49" t="s">
        <v>1</v>
      </c>
      <c r="BH124" s="49" t="s">
        <v>1</v>
      </c>
      <c r="BI124" s="1"/>
      <c r="BJ124" s="70" t="s">
        <v>1283</v>
      </c>
      <c r="BK124" s="57" t="s">
        <v>1283</v>
      </c>
      <c r="BL124" s="57" t="s">
        <v>1283</v>
      </c>
      <c r="BM124" s="57" t="s">
        <v>1283</v>
      </c>
      <c r="BN124" s="57" t="s">
        <v>1283</v>
      </c>
      <c r="BO124" s="57" t="s">
        <v>1283</v>
      </c>
      <c r="BP124" s="57" t="s">
        <v>1283</v>
      </c>
      <c r="BQ124" s="57" t="s">
        <v>1283</v>
      </c>
      <c r="BR124" s="57" t="s">
        <v>1283</v>
      </c>
      <c r="BS124" s="57" t="s">
        <v>1283</v>
      </c>
      <c r="BT124" s="57" t="s">
        <v>1283</v>
      </c>
      <c r="BU124" s="57" t="s">
        <v>1283</v>
      </c>
      <c r="BV124" s="70">
        <f t="shared" ref="BV124" si="1038">E124</f>
        <v>40</v>
      </c>
      <c r="BW124" s="71">
        <f t="shared" ref="BW124" si="1039">I124</f>
        <v>70</v>
      </c>
      <c r="BX124" s="72">
        <f t="shared" ref="BX124" si="1040">M124</f>
        <v>74</v>
      </c>
      <c r="BY124" s="71">
        <f t="shared" ref="BY124" si="1041">Q124</f>
        <v>106</v>
      </c>
      <c r="BZ124" s="72">
        <f t="shared" ref="BZ124" si="1042">U124</f>
        <v>110</v>
      </c>
      <c r="CA124" s="71">
        <f t="shared" ref="CA124" si="1043">Y124</f>
        <v>146</v>
      </c>
      <c r="CB124" s="72">
        <f t="shared" ref="CB124" si="1044">AC124</f>
        <v>154</v>
      </c>
      <c r="CC124" s="71">
        <f t="shared" ref="CC124" si="1045">AG124</f>
        <v>199</v>
      </c>
      <c r="CD124" s="72">
        <f t="shared" ref="CD124" si="1046">AK124</f>
        <v>204</v>
      </c>
      <c r="CE124" s="71">
        <f t="shared" ref="CE124" si="1047">AO124</f>
        <v>282</v>
      </c>
      <c r="CF124" s="72">
        <f t="shared" ref="CF124" si="1048">AS124</f>
        <v>321</v>
      </c>
      <c r="CG124" s="71">
        <f t="shared" ref="CG124" si="1049">AW124</f>
        <v>346</v>
      </c>
      <c r="CH124" s="70">
        <f t="shared" ref="CH124" si="1050">G124</f>
        <v>69</v>
      </c>
      <c r="CI124" s="71">
        <f t="shared" ref="CI124" si="1051">K124</f>
        <v>73</v>
      </c>
      <c r="CJ124" s="72">
        <f t="shared" ref="CJ124" si="1052">O124</f>
        <v>105</v>
      </c>
      <c r="CK124" s="72">
        <f t="shared" ref="CK124" si="1053">S124</f>
        <v>109</v>
      </c>
      <c r="CL124" s="72">
        <f t="shared" ref="CL124" si="1054">W124</f>
        <v>145</v>
      </c>
      <c r="CM124" s="72">
        <f t="shared" ref="CM124" si="1055">AA124</f>
        <v>153</v>
      </c>
      <c r="CN124" s="72">
        <f t="shared" ref="CN124" si="1056">AE124</f>
        <v>180</v>
      </c>
      <c r="CO124" s="72">
        <f t="shared" ref="CO124" si="1057">AI124</f>
        <v>201</v>
      </c>
      <c r="CP124" s="72">
        <f t="shared" ref="CP124" si="1058">AM124</f>
        <v>273</v>
      </c>
      <c r="CQ124" s="72">
        <f t="shared" ref="CQ124" si="1059">AQ124</f>
        <v>316</v>
      </c>
      <c r="CR124" s="72">
        <f t="shared" ref="CR124" si="1060">AU124</f>
        <v>345</v>
      </c>
      <c r="CS124" s="72">
        <f t="shared" ref="CS124" si="1061">AY124</f>
        <v>357</v>
      </c>
      <c r="CT124" s="23">
        <f t="shared" ref="CT124" si="1062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ref="A125" si="1063">CONCATENATE(B125,"_",C125)</f>
        <v>adrb1_melga_6H7M</v>
      </c>
      <c r="B125" s="3" t="s">
        <v>907</v>
      </c>
      <c r="C125" s="3" t="s">
        <v>1517</v>
      </c>
      <c r="D125" s="3" t="str">
        <f>IFERROR(MID(VLOOKUP($B125,Seqs!$A:$B,2,0),E125,1),"")</f>
        <v>W</v>
      </c>
      <c r="E125" s="3">
        <v>40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G</v>
      </c>
      <c r="O125" s="3">
        <v>105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3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S</v>
      </c>
      <c r="AM125" s="3">
        <v>273</v>
      </c>
      <c r="AN125" s="3" t="str">
        <f>IFERROR(MID(VLOOKUP($B125,Seqs!$A:$B,2,0),AO125,1),"")</f>
        <v>A</v>
      </c>
      <c r="AO125" s="3">
        <v>282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357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ref="BB125" si="106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1065">_xlfn.AGGREGATE(9,6,CH125:CS125)-_xlfn.AGGREGATE(9,6,BV125:CG125)+12</f>
        <v>286</v>
      </c>
      <c r="BD125" s="5" t="s">
        <v>23</v>
      </c>
      <c r="BE125" s="3" t="s">
        <v>1287</v>
      </c>
      <c r="BF125" s="118">
        <v>2.76</v>
      </c>
      <c r="BG125" s="49" t="s">
        <v>1</v>
      </c>
      <c r="BH125" s="49" t="s">
        <v>1</v>
      </c>
      <c r="BI125" s="1"/>
      <c r="BJ125" s="70" t="s">
        <v>1283</v>
      </c>
      <c r="BK125" s="57" t="s">
        <v>1283</v>
      </c>
      <c r="BL125" s="57" t="s">
        <v>1283</v>
      </c>
      <c r="BM125" s="57" t="s">
        <v>1283</v>
      </c>
      <c r="BN125" s="57" t="s">
        <v>1283</v>
      </c>
      <c r="BO125" s="57" t="s">
        <v>1283</v>
      </c>
      <c r="BP125" s="57" t="s">
        <v>1283</v>
      </c>
      <c r="BQ125" s="57" t="s">
        <v>1283</v>
      </c>
      <c r="BR125" s="57" t="s">
        <v>1283</v>
      </c>
      <c r="BS125" s="57" t="s">
        <v>1283</v>
      </c>
      <c r="BT125" s="57" t="s">
        <v>1283</v>
      </c>
      <c r="BU125" s="57" t="s">
        <v>1283</v>
      </c>
      <c r="BV125" s="70">
        <f t="shared" ref="BV125" si="1066">E125</f>
        <v>40</v>
      </c>
      <c r="BW125" s="71">
        <f t="shared" ref="BW125" si="1067">I125</f>
        <v>70</v>
      </c>
      <c r="BX125" s="72">
        <f t="shared" ref="BX125" si="1068">M125</f>
        <v>74</v>
      </c>
      <c r="BY125" s="71">
        <f t="shared" ref="BY125" si="1069">Q125</f>
        <v>106</v>
      </c>
      <c r="BZ125" s="72">
        <f t="shared" ref="BZ125" si="1070">U125</f>
        <v>110</v>
      </c>
      <c r="CA125" s="71">
        <f t="shared" ref="CA125" si="1071">Y125</f>
        <v>146</v>
      </c>
      <c r="CB125" s="72">
        <f t="shared" ref="CB125" si="1072">AC125</f>
        <v>154</v>
      </c>
      <c r="CC125" s="71">
        <f t="shared" ref="CC125" si="1073">AG125</f>
        <v>199</v>
      </c>
      <c r="CD125" s="72">
        <f t="shared" ref="CD125" si="1074">AK125</f>
        <v>204</v>
      </c>
      <c r="CE125" s="71">
        <f t="shared" ref="CE125" si="1075">AO125</f>
        <v>282</v>
      </c>
      <c r="CF125" s="72">
        <f t="shared" ref="CF125" si="1076">AS125</f>
        <v>321</v>
      </c>
      <c r="CG125" s="71">
        <f t="shared" ref="CG125" si="1077">AW125</f>
        <v>346</v>
      </c>
      <c r="CH125" s="70">
        <f t="shared" ref="CH125" si="1078">G125</f>
        <v>69</v>
      </c>
      <c r="CI125" s="71">
        <f t="shared" ref="CI125" si="1079">K125</f>
        <v>73</v>
      </c>
      <c r="CJ125" s="72">
        <f t="shared" ref="CJ125" si="1080">O125</f>
        <v>105</v>
      </c>
      <c r="CK125" s="72">
        <f t="shared" ref="CK125" si="1081">S125</f>
        <v>109</v>
      </c>
      <c r="CL125" s="72">
        <f t="shared" ref="CL125" si="1082">W125</f>
        <v>145</v>
      </c>
      <c r="CM125" s="72">
        <f t="shared" ref="CM125" si="1083">AA125</f>
        <v>153</v>
      </c>
      <c r="CN125" s="72">
        <f t="shared" ref="CN125" si="1084">AE125</f>
        <v>180</v>
      </c>
      <c r="CO125" s="72">
        <f t="shared" ref="CO125" si="1085">AI125</f>
        <v>201</v>
      </c>
      <c r="CP125" s="72">
        <f t="shared" ref="CP125" si="1086">AM125</f>
        <v>273</v>
      </c>
      <c r="CQ125" s="72">
        <f t="shared" ref="CQ125" si="1087">AQ125</f>
        <v>316</v>
      </c>
      <c r="CR125" s="72">
        <f t="shared" ref="CR125" si="1088">AU125</f>
        <v>345</v>
      </c>
      <c r="CS125" s="72">
        <f t="shared" ref="CS125" si="1089">AY125</f>
        <v>357</v>
      </c>
      <c r="CT125" s="23">
        <f t="shared" ref="CT125" si="1090">M125-K125</f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ref="A126" si="1091">CONCATENATE(B126,"_",C126)</f>
        <v>adrb1_melga_6H7N</v>
      </c>
      <c r="B126" s="3" t="s">
        <v>907</v>
      </c>
      <c r="C126" s="3" t="s">
        <v>1518</v>
      </c>
      <c r="D126" s="3" t="str">
        <f>IFERROR(MID(VLOOKUP($B126,Seqs!$A:$B,2,0),E126,1),"")</f>
        <v>W</v>
      </c>
      <c r="E126" s="3">
        <v>40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3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S</v>
      </c>
      <c r="AM126" s="3">
        <v>273</v>
      </c>
      <c r="AN126" s="3" t="str">
        <f>IFERROR(MID(VLOOKUP($B126,Seqs!$A:$B,2,0),AO126,1),"")</f>
        <v>A</v>
      </c>
      <c r="AO126" s="3">
        <v>282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L</v>
      </c>
      <c r="AY126" s="3">
        <v>357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" si="1092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ref="BC126" si="1093">_xlfn.AGGREGATE(9,6,CH126:CS126)-_xlfn.AGGREGATE(9,6,BV126:CG126)+12</f>
        <v>286</v>
      </c>
      <c r="BD126" s="5" t="s">
        <v>1371</v>
      </c>
      <c r="BE126" s="3" t="s">
        <v>1287</v>
      </c>
      <c r="BF126" s="118">
        <v>2.5</v>
      </c>
      <c r="BG126" s="49" t="s">
        <v>1</v>
      </c>
      <c r="BH126" s="49" t="s">
        <v>1</v>
      </c>
      <c r="BI126" s="1"/>
      <c r="BJ126" s="70" t="s">
        <v>1283</v>
      </c>
      <c r="BK126" s="57" t="s">
        <v>1283</v>
      </c>
      <c r="BL126" s="57" t="s">
        <v>1283</v>
      </c>
      <c r="BM126" s="57" t="s">
        <v>1283</v>
      </c>
      <c r="BN126" s="57" t="s">
        <v>1283</v>
      </c>
      <c r="BO126" s="57" t="s">
        <v>1283</v>
      </c>
      <c r="BP126" s="57" t="s">
        <v>1283</v>
      </c>
      <c r="BQ126" s="57" t="s">
        <v>1283</v>
      </c>
      <c r="BR126" s="57" t="s">
        <v>1283</v>
      </c>
      <c r="BS126" s="57" t="s">
        <v>1283</v>
      </c>
      <c r="BT126" s="57" t="s">
        <v>1283</v>
      </c>
      <c r="BU126" s="57" t="s">
        <v>1283</v>
      </c>
      <c r="BV126" s="70">
        <f t="shared" ref="BV126" si="1094">E126</f>
        <v>40</v>
      </c>
      <c r="BW126" s="71">
        <f t="shared" ref="BW126" si="1095">I126</f>
        <v>70</v>
      </c>
      <c r="BX126" s="72">
        <f t="shared" ref="BX126" si="1096">M126</f>
        <v>74</v>
      </c>
      <c r="BY126" s="71">
        <f t="shared" ref="BY126" si="1097">Q126</f>
        <v>106</v>
      </c>
      <c r="BZ126" s="72">
        <f t="shared" ref="BZ126" si="1098">U126</f>
        <v>110</v>
      </c>
      <c r="CA126" s="71">
        <f t="shared" ref="CA126" si="1099">Y126</f>
        <v>146</v>
      </c>
      <c r="CB126" s="72">
        <f t="shared" ref="CB126" si="1100">AC126</f>
        <v>154</v>
      </c>
      <c r="CC126" s="71">
        <f t="shared" ref="CC126" si="1101">AG126</f>
        <v>199</v>
      </c>
      <c r="CD126" s="72">
        <f t="shared" ref="CD126" si="1102">AK126</f>
        <v>204</v>
      </c>
      <c r="CE126" s="71">
        <f t="shared" ref="CE126" si="1103">AO126</f>
        <v>282</v>
      </c>
      <c r="CF126" s="72">
        <f t="shared" ref="CF126" si="1104">AS126</f>
        <v>321</v>
      </c>
      <c r="CG126" s="71">
        <f t="shared" ref="CG126" si="1105">AW126</f>
        <v>346</v>
      </c>
      <c r="CH126" s="70">
        <f t="shared" ref="CH126" si="1106">G126</f>
        <v>69</v>
      </c>
      <c r="CI126" s="71">
        <f t="shared" ref="CI126" si="1107">K126</f>
        <v>73</v>
      </c>
      <c r="CJ126" s="72">
        <f t="shared" ref="CJ126" si="1108">O126</f>
        <v>105</v>
      </c>
      <c r="CK126" s="72">
        <f t="shared" ref="CK126" si="1109">S126</f>
        <v>109</v>
      </c>
      <c r="CL126" s="72">
        <f t="shared" ref="CL126" si="1110">W126</f>
        <v>145</v>
      </c>
      <c r="CM126" s="72">
        <f t="shared" ref="CM126" si="1111">AA126</f>
        <v>153</v>
      </c>
      <c r="CN126" s="72">
        <f t="shared" ref="CN126" si="1112">AE126</f>
        <v>180</v>
      </c>
      <c r="CO126" s="72">
        <f t="shared" ref="CO126" si="1113">AI126</f>
        <v>201</v>
      </c>
      <c r="CP126" s="72">
        <f t="shared" ref="CP126" si="1114">AM126</f>
        <v>273</v>
      </c>
      <c r="CQ126" s="72">
        <f t="shared" ref="CQ126" si="1115">AQ126</f>
        <v>316</v>
      </c>
      <c r="CR126" s="72">
        <f t="shared" ref="CR126" si="1116">AU126</f>
        <v>345</v>
      </c>
      <c r="CS126" s="72">
        <f t="shared" ref="CS126" si="1117">AY126</f>
        <v>357</v>
      </c>
      <c r="CT126" s="23">
        <f t="shared" ref="CT126" si="1118">M126-K126</f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ref="A127" si="1119">CONCATENATE(B127,"_",C127)</f>
        <v>adrb1_melga_6H7O</v>
      </c>
      <c r="B127" s="3" t="s">
        <v>907</v>
      </c>
      <c r="C127" s="3" t="s">
        <v>1519</v>
      </c>
      <c r="D127" s="3" t="str">
        <f>IFERROR(MID(VLOOKUP($B127,Seqs!$A:$B,2,0),E127,1),"")</f>
        <v>W</v>
      </c>
      <c r="E127" s="3">
        <v>40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3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S</v>
      </c>
      <c r="AM127" s="3">
        <v>273</v>
      </c>
      <c r="AN127" s="3" t="str">
        <f>IFERROR(MID(VLOOKUP($B127,Seqs!$A:$B,2,0),AO127,1),"")</f>
        <v>A</v>
      </c>
      <c r="AO127" s="3">
        <v>282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R</v>
      </c>
      <c r="AU127" s="3">
        <v>345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L</v>
      </c>
      <c r="AY127" s="3">
        <v>357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1120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1121">_xlfn.AGGREGATE(9,6,CH127:CS127)-_xlfn.AGGREGATE(9,6,BV127:CG127)+12</f>
        <v>286</v>
      </c>
      <c r="BD127" s="5" t="s">
        <v>23</v>
      </c>
      <c r="BE127" s="3" t="s">
        <v>1287</v>
      </c>
      <c r="BF127" s="118">
        <v>2.8</v>
      </c>
      <c r="BG127" s="49" t="s">
        <v>1</v>
      </c>
      <c r="BH127" s="49" t="s">
        <v>1</v>
      </c>
      <c r="BI127" s="1"/>
      <c r="BJ127" s="70" t="s">
        <v>1283</v>
      </c>
      <c r="BK127" s="57" t="s">
        <v>1283</v>
      </c>
      <c r="BL127" s="57" t="s">
        <v>1283</v>
      </c>
      <c r="BM127" s="57" t="s">
        <v>1283</v>
      </c>
      <c r="BN127" s="57" t="s">
        <v>1283</v>
      </c>
      <c r="BO127" s="57" t="s">
        <v>1283</v>
      </c>
      <c r="BP127" s="57" t="s">
        <v>1283</v>
      </c>
      <c r="BQ127" s="57" t="s">
        <v>1283</v>
      </c>
      <c r="BR127" s="57" t="s">
        <v>1283</v>
      </c>
      <c r="BS127" s="57" t="s">
        <v>1283</v>
      </c>
      <c r="BT127" s="57" t="s">
        <v>1283</v>
      </c>
      <c r="BU127" s="57" t="s">
        <v>1283</v>
      </c>
      <c r="BV127" s="70">
        <f t="shared" ref="BV127" si="1122">E127</f>
        <v>40</v>
      </c>
      <c r="BW127" s="71">
        <f t="shared" ref="BW127" si="1123">I127</f>
        <v>70</v>
      </c>
      <c r="BX127" s="72">
        <f t="shared" ref="BX127" si="1124">M127</f>
        <v>74</v>
      </c>
      <c r="BY127" s="71">
        <f t="shared" ref="BY127" si="1125">Q127</f>
        <v>106</v>
      </c>
      <c r="BZ127" s="72">
        <f t="shared" ref="BZ127" si="1126">U127</f>
        <v>110</v>
      </c>
      <c r="CA127" s="71">
        <f t="shared" ref="CA127" si="1127">Y127</f>
        <v>146</v>
      </c>
      <c r="CB127" s="72">
        <f t="shared" ref="CB127" si="1128">AC127</f>
        <v>154</v>
      </c>
      <c r="CC127" s="71">
        <f t="shared" ref="CC127" si="1129">AG127</f>
        <v>199</v>
      </c>
      <c r="CD127" s="72">
        <f t="shared" ref="CD127" si="1130">AK127</f>
        <v>204</v>
      </c>
      <c r="CE127" s="71">
        <f t="shared" ref="CE127" si="1131">AO127</f>
        <v>282</v>
      </c>
      <c r="CF127" s="72">
        <f t="shared" ref="CF127" si="1132">AS127</f>
        <v>321</v>
      </c>
      <c r="CG127" s="71">
        <f t="shared" ref="CG127" si="1133">AW127</f>
        <v>346</v>
      </c>
      <c r="CH127" s="70">
        <f t="shared" ref="CH127" si="1134">G127</f>
        <v>69</v>
      </c>
      <c r="CI127" s="71">
        <f t="shared" ref="CI127" si="1135">K127</f>
        <v>73</v>
      </c>
      <c r="CJ127" s="72">
        <f t="shared" ref="CJ127" si="1136">O127</f>
        <v>105</v>
      </c>
      <c r="CK127" s="72">
        <f t="shared" ref="CK127" si="1137">S127</f>
        <v>109</v>
      </c>
      <c r="CL127" s="72">
        <f t="shared" ref="CL127" si="1138">W127</f>
        <v>145</v>
      </c>
      <c r="CM127" s="72">
        <f t="shared" ref="CM127" si="1139">AA127</f>
        <v>153</v>
      </c>
      <c r="CN127" s="72">
        <f t="shared" ref="CN127" si="1140">AE127</f>
        <v>180</v>
      </c>
      <c r="CO127" s="72">
        <f t="shared" ref="CO127" si="1141">AI127</f>
        <v>201</v>
      </c>
      <c r="CP127" s="72">
        <f t="shared" ref="CP127" si="1142">AM127</f>
        <v>273</v>
      </c>
      <c r="CQ127" s="72">
        <f t="shared" ref="CQ127" si="1143">AQ127</f>
        <v>316</v>
      </c>
      <c r="CR127" s="72">
        <f t="shared" ref="CR127" si="1144">AU127</f>
        <v>345</v>
      </c>
      <c r="CS127" s="72">
        <f t="shared" ref="CS127" si="1145">AY127</f>
        <v>357</v>
      </c>
      <c r="CT127" s="23">
        <f t="shared" ref="CT127" si="1146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" si="1147">CONCATENATE(B128,"_",C128)</f>
        <v>adrb1_melga_6IBL</v>
      </c>
      <c r="B128" s="3" t="s">
        <v>907</v>
      </c>
      <c r="C128" s="3" t="s">
        <v>1546</v>
      </c>
      <c r="D128" s="3" t="str">
        <f>IFERROR(MID(VLOOKUP($B128,Seqs!$A:$B,2,0),E128,1),"")</f>
        <v>E</v>
      </c>
      <c r="E128" s="3">
        <v>41</v>
      </c>
      <c r="F128" s="3" t="str">
        <f>IFERROR(MID(VLOOKUP($B128,Seqs!$A:$B,2,0),G128,1),"")</f>
        <v>T</v>
      </c>
      <c r="G128" s="3">
        <v>69</v>
      </c>
      <c r="H128" s="3" t="str">
        <f>IFERROR(MID(VLOOKUP($B128,Seqs!$A:$B,2,0),I128,1),"")</f>
        <v>Q</v>
      </c>
      <c r="I128" s="23">
        <v>70</v>
      </c>
      <c r="J128" s="3" t="str">
        <f>IFERROR(MID(VLOOKUP($B128,Seqs!$A:$B,2,0),K128,1),"")</f>
        <v>Q</v>
      </c>
      <c r="K128" s="23">
        <v>73</v>
      </c>
      <c r="L128" s="3" t="str">
        <f>IFERROR(MID(VLOOKUP($B128,Seqs!$A:$B,2,0),M128,1),"")</f>
        <v>T</v>
      </c>
      <c r="M128" s="3">
        <v>74</v>
      </c>
      <c r="N128" s="3" t="str">
        <f>IFERROR(MID(VLOOKUP($B128,Seqs!$A:$B,2,0),O128,1),"")</f>
        <v>G</v>
      </c>
      <c r="O128" s="3">
        <v>105</v>
      </c>
      <c r="P128" s="3" t="str">
        <f>IFERROR(MID(VLOOKUP($B128,Seqs!$A:$B,2,0),Q128,1),"")</f>
        <v>T</v>
      </c>
      <c r="Q128" s="3">
        <v>106</v>
      </c>
      <c r="R128" s="3" t="str">
        <f>IFERROR(MID(VLOOKUP($B128,Seqs!$A:$B,2,0),S128,1),"")</f>
        <v>W</v>
      </c>
      <c r="S128" s="3">
        <v>109</v>
      </c>
      <c r="T128" s="3" t="str">
        <f>IFERROR(MID(VLOOKUP($B128,Seqs!$A:$B,2,0),U128,1),"")</f>
        <v>G</v>
      </c>
      <c r="U128" s="3">
        <v>110</v>
      </c>
      <c r="V128" s="3" t="str">
        <f>IFERROR(MID(VLOOKUP($B128,Seqs!$A:$B,2,0),W128,1),"")</f>
        <v>S</v>
      </c>
      <c r="W128" s="3">
        <v>145</v>
      </c>
      <c r="X128" s="3" t="str">
        <f>IFERROR(MID(VLOOKUP($B128,Seqs!$A:$B,2,0),Y128,1),"")</f>
        <v>P</v>
      </c>
      <c r="Y128" s="3">
        <v>146</v>
      </c>
      <c r="Z128" s="3" t="str">
        <f>IFERROR(MID(VLOOKUP($B128,Seqs!$A:$B,2,0),AA128,1),"")</f>
        <v>M</v>
      </c>
      <c r="AA128" s="3">
        <v>153</v>
      </c>
      <c r="AB128" s="3" t="str">
        <f>IFERROR(MID(VLOOKUP($B128,Seqs!$A:$B,2,0),AC128,1),"")</f>
        <v>T</v>
      </c>
      <c r="AC128" s="3">
        <v>154</v>
      </c>
      <c r="AD128" s="3" t="str">
        <f>IFERROR(MID(VLOOKUP($B128,Seqs!$A:$B,2,0),AE128,1),"")</f>
        <v>H</v>
      </c>
      <c r="AE128" s="3">
        <v>180</v>
      </c>
      <c r="AF128" s="3" t="str">
        <f>IFERROR(MID(VLOOKUP($B128,Seqs!$A:$B,2,0),AG128,1),"")</f>
        <v>C</v>
      </c>
      <c r="AG128" s="3">
        <v>199</v>
      </c>
      <c r="AH128" s="3" t="str">
        <f>IFERROR(MID(VLOOKUP($B128,Seqs!$A:$B,2,0),AI128,1),"")</f>
        <v>F</v>
      </c>
      <c r="AI128" s="3">
        <v>201</v>
      </c>
      <c r="AJ128" s="3" t="str">
        <f>IFERROR(MID(VLOOKUP($B128,Seqs!$A:$B,2,0),AK128,1),"")</f>
        <v>N</v>
      </c>
      <c r="AK128" s="3">
        <v>204</v>
      </c>
      <c r="AL128" s="3" t="str">
        <f>IFERROR(MID(VLOOKUP($B128,Seqs!$A:$B,2,0),AM128,1),"")</f>
        <v>S</v>
      </c>
      <c r="AM128" s="3">
        <v>273</v>
      </c>
      <c r="AN128" s="3" t="str">
        <f>IFERROR(MID(VLOOKUP($B128,Seqs!$A:$B,2,0),AO128,1),"")</f>
        <v>A</v>
      </c>
      <c r="AO128" s="3">
        <v>282</v>
      </c>
      <c r="AP128" s="3" t="str">
        <f>IFERROR(MID(VLOOKUP($B128,Seqs!$A:$B,2,0),AQ128,1),"")</f>
        <v>N</v>
      </c>
      <c r="AQ128" s="3">
        <v>316</v>
      </c>
      <c r="AR128" s="3" t="str">
        <f>IFERROR(MID(VLOOKUP($B128,Seqs!$A:$B,2,0),AS128,1),"")</f>
        <v>P</v>
      </c>
      <c r="AS128" s="3">
        <v>321</v>
      </c>
      <c r="AT128" s="3" t="str">
        <f>IFERROR(MID(VLOOKUP($B128,Seqs!$A:$B,2,0),AU128,1),"")</f>
        <v>C</v>
      </c>
      <c r="AU128" s="3">
        <v>344</v>
      </c>
      <c r="AV128" s="3" t="str">
        <f>IFERROR(MID(VLOOKUP($B128,Seqs!$A:$B,2,0),AW128,1),"")</f>
        <v>S</v>
      </c>
      <c r="AW128" s="3">
        <v>346</v>
      </c>
      <c r="AX128" s="3" t="str">
        <f>IFERROR(MID(VLOOKUP($B128,Seqs!$A:$B,2,0),AY128,1),"")</f>
        <v>L</v>
      </c>
      <c r="AY128" s="3">
        <v>357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" si="114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ref="BC128" si="1149">_xlfn.AGGREGATE(9,6,CH128:CS128)-_xlfn.AGGREGATE(9,6,BV128:CG128)+12</f>
        <v>284</v>
      </c>
      <c r="BD128" s="5" t="s">
        <v>23</v>
      </c>
      <c r="BE128" s="3" t="s">
        <v>1287</v>
      </c>
      <c r="BF128" s="118">
        <v>2.7</v>
      </c>
      <c r="BG128" s="49" t="s">
        <v>1</v>
      </c>
      <c r="BH128" s="49" t="s">
        <v>1</v>
      </c>
      <c r="BI128" s="1"/>
      <c r="BJ128" s="70" t="s">
        <v>1283</v>
      </c>
      <c r="BK128" s="57" t="s">
        <v>1283</v>
      </c>
      <c r="BL128" s="57" t="s">
        <v>1283</v>
      </c>
      <c r="BM128" s="57" t="s">
        <v>1283</v>
      </c>
      <c r="BN128" s="57" t="s">
        <v>1283</v>
      </c>
      <c r="BO128" s="57" t="s">
        <v>1283</v>
      </c>
      <c r="BP128" s="57" t="s">
        <v>1283</v>
      </c>
      <c r="BQ128" s="57" t="s">
        <v>1283</v>
      </c>
      <c r="BR128" s="57" t="s">
        <v>1283</v>
      </c>
      <c r="BS128" s="57" t="s">
        <v>1283</v>
      </c>
      <c r="BT128" s="57" t="s">
        <v>1283</v>
      </c>
      <c r="BU128" s="57" t="s">
        <v>1283</v>
      </c>
      <c r="BV128" s="70">
        <f t="shared" ref="BV128" si="1150">E128</f>
        <v>41</v>
      </c>
      <c r="BW128" s="71">
        <f t="shared" ref="BW128" si="1151">I128</f>
        <v>70</v>
      </c>
      <c r="BX128" s="72">
        <f t="shared" ref="BX128" si="1152">M128</f>
        <v>74</v>
      </c>
      <c r="BY128" s="71">
        <f t="shared" ref="BY128" si="1153">Q128</f>
        <v>106</v>
      </c>
      <c r="BZ128" s="72">
        <f t="shared" ref="BZ128" si="1154">U128</f>
        <v>110</v>
      </c>
      <c r="CA128" s="71">
        <f t="shared" ref="CA128" si="1155">Y128</f>
        <v>146</v>
      </c>
      <c r="CB128" s="72">
        <f t="shared" ref="CB128" si="1156">AC128</f>
        <v>154</v>
      </c>
      <c r="CC128" s="71">
        <f t="shared" ref="CC128" si="1157">AG128</f>
        <v>199</v>
      </c>
      <c r="CD128" s="72">
        <f t="shared" ref="CD128" si="1158">AK128</f>
        <v>204</v>
      </c>
      <c r="CE128" s="71">
        <f t="shared" ref="CE128" si="1159">AO128</f>
        <v>282</v>
      </c>
      <c r="CF128" s="72">
        <f t="shared" ref="CF128" si="1160">AS128</f>
        <v>321</v>
      </c>
      <c r="CG128" s="71">
        <f t="shared" ref="CG128" si="1161">AW128</f>
        <v>346</v>
      </c>
      <c r="CH128" s="70">
        <f t="shared" ref="CH128" si="1162">G128</f>
        <v>69</v>
      </c>
      <c r="CI128" s="71">
        <f t="shared" ref="CI128" si="1163">K128</f>
        <v>73</v>
      </c>
      <c r="CJ128" s="72">
        <f t="shared" ref="CJ128" si="1164">O128</f>
        <v>105</v>
      </c>
      <c r="CK128" s="72">
        <f t="shared" ref="CK128" si="1165">S128</f>
        <v>109</v>
      </c>
      <c r="CL128" s="72">
        <f t="shared" ref="CL128" si="1166">W128</f>
        <v>145</v>
      </c>
      <c r="CM128" s="72">
        <f t="shared" ref="CM128" si="1167">AA128</f>
        <v>153</v>
      </c>
      <c r="CN128" s="72">
        <f t="shared" ref="CN128" si="1168">AE128</f>
        <v>180</v>
      </c>
      <c r="CO128" s="72">
        <f t="shared" ref="CO128" si="1169">AI128</f>
        <v>201</v>
      </c>
      <c r="CP128" s="72">
        <f t="shared" ref="CP128" si="1170">AM128</f>
        <v>273</v>
      </c>
      <c r="CQ128" s="72">
        <f t="shared" ref="CQ128" si="1171">AQ128</f>
        <v>316</v>
      </c>
      <c r="CR128" s="72">
        <f t="shared" ref="CR128" si="1172">AU128</f>
        <v>344</v>
      </c>
      <c r="CS128" s="72">
        <f t="shared" ref="CS128" si="1173">AY128</f>
        <v>357</v>
      </c>
      <c r="CT128" s="23">
        <f t="shared" ref="CT128" si="1174"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12" customFormat="1" x14ac:dyDescent="0.2">
      <c r="A129" s="9" t="str">
        <f t="shared" ref="A129" si="1175">CONCATENATE(B129,"_",C129)</f>
        <v>adrb1_melga_6TKO</v>
      </c>
      <c r="B129" s="9" t="s">
        <v>907</v>
      </c>
      <c r="C129" s="9" t="s">
        <v>1680</v>
      </c>
      <c r="D129" s="9" t="str">
        <f>IFERROR(MID(VLOOKUP($B129,Seqs!$A:$B,2,0),E129,1),"")</f>
        <v>M</v>
      </c>
      <c r="E129" s="9">
        <v>44</v>
      </c>
      <c r="F129" s="9" t="str">
        <f>IFERROR(MID(VLOOKUP($B129,Seqs!$A:$B,2,0),G129,1),"")</f>
        <v>T</v>
      </c>
      <c r="G129" s="9">
        <v>69</v>
      </c>
      <c r="H129" s="9" t="str">
        <f>IFERROR(MID(VLOOKUP($B129,Seqs!$A:$B,2,0),I129,1),"")</f>
        <v>Q</v>
      </c>
      <c r="I129" s="109">
        <v>70</v>
      </c>
      <c r="J129" s="9" t="str">
        <f>IFERROR(MID(VLOOKUP($B129,Seqs!$A:$B,2,0),K129,1),"")</f>
        <v>Q</v>
      </c>
      <c r="K129" s="109">
        <v>73</v>
      </c>
      <c r="L129" s="9" t="str">
        <f>IFERROR(MID(VLOOKUP($B129,Seqs!$A:$B,2,0),M129,1),"")</f>
        <v>T</v>
      </c>
      <c r="M129" s="9">
        <v>74</v>
      </c>
      <c r="N129" s="9" t="str">
        <f>IFERROR(MID(VLOOKUP($B129,Seqs!$A:$B,2,0),O129,1),"")</f>
        <v>G</v>
      </c>
      <c r="O129" s="9">
        <v>105</v>
      </c>
      <c r="P129" s="9" t="str">
        <f>IFERROR(MID(VLOOKUP($B129,Seqs!$A:$B,2,0),Q129,1),"")</f>
        <v>T</v>
      </c>
      <c r="Q129" s="9">
        <v>106</v>
      </c>
      <c r="R129" s="9" t="str">
        <f>IFERROR(MID(VLOOKUP($B129,Seqs!$A:$B,2,0),S129,1),"")</f>
        <v>W</v>
      </c>
      <c r="S129" s="9">
        <v>109</v>
      </c>
      <c r="T129" s="9" t="str">
        <f>IFERROR(MID(VLOOKUP($B129,Seqs!$A:$B,2,0),U129,1),"")</f>
        <v>G</v>
      </c>
      <c r="U129" s="9">
        <v>110</v>
      </c>
      <c r="V129" s="9" t="str">
        <f>IFERROR(MID(VLOOKUP($B129,Seqs!$A:$B,2,0),W129,1),"")</f>
        <v>S</v>
      </c>
      <c r="W129" s="9">
        <v>145</v>
      </c>
      <c r="X129" s="9" t="str">
        <f>IFERROR(MID(VLOOKUP($B129,Seqs!$A:$B,2,0),Y129,1),"")</f>
        <v>P</v>
      </c>
      <c r="Y129" s="9">
        <v>146</v>
      </c>
      <c r="Z129" s="9" t="str">
        <f>IFERROR(MID(VLOOKUP($B129,Seqs!$A:$B,2,0),AA129,1),"")</f>
        <v>M</v>
      </c>
      <c r="AA129" s="9">
        <v>153</v>
      </c>
      <c r="AB129" s="9" t="str">
        <f>IFERROR(MID(VLOOKUP($B129,Seqs!$A:$B,2,0),AC129,1),"")</f>
        <v>T</v>
      </c>
      <c r="AC129" s="9">
        <v>154</v>
      </c>
      <c r="AD129" s="9" t="str">
        <f>IFERROR(MID(VLOOKUP($B129,Seqs!$A:$B,2,0),AE129,1),"")</f>
        <v>H</v>
      </c>
      <c r="AE129" s="9">
        <v>180</v>
      </c>
      <c r="AF129" s="9" t="str">
        <f>IFERROR(MID(VLOOKUP($B129,Seqs!$A:$B,2,0),AG129,1),"")</f>
        <v>C</v>
      </c>
      <c r="AG129" s="9">
        <v>199</v>
      </c>
      <c r="AH129" s="9" t="str">
        <f>IFERROR(MID(VLOOKUP($B129,Seqs!$A:$B,2,0),AI129,1),"")</f>
        <v>F</v>
      </c>
      <c r="AI129" s="9">
        <v>201</v>
      </c>
      <c r="AJ129" s="9" t="str">
        <f>IFERROR(MID(VLOOKUP($B129,Seqs!$A:$B,2,0),AK129,1),"")</f>
        <v>N</v>
      </c>
      <c r="AK129" s="9">
        <v>204</v>
      </c>
      <c r="AL129" s="9" t="str">
        <f>IFERROR(MID(VLOOKUP($B129,Seqs!$A:$B,2,0),AM129,1),"")</f>
        <v>D</v>
      </c>
      <c r="AM129" s="9">
        <v>242</v>
      </c>
      <c r="AN129" s="9" t="str">
        <f>IFERROR(MID(VLOOKUP($B129,Seqs!$A:$B,2,0),AO129,1),"")</f>
        <v>V</v>
      </c>
      <c r="AO129" s="9">
        <v>280</v>
      </c>
      <c r="AP129" s="9" t="str">
        <f>IFERROR(MID(VLOOKUP($B129,Seqs!$A:$B,2,0),AQ129,1),"")</f>
        <v>N</v>
      </c>
      <c r="AQ129" s="9">
        <v>316</v>
      </c>
      <c r="AR129" s="9" t="str">
        <f>IFERROR(MID(VLOOKUP($B129,Seqs!$A:$B,2,0),AS129,1),"")</f>
        <v>P</v>
      </c>
      <c r="AS129" s="9">
        <v>321</v>
      </c>
      <c r="AT129" s="9" t="str">
        <f>IFERROR(MID(VLOOKUP($B129,Seqs!$A:$B,2,0),AU129,1),"")</f>
        <v>Y</v>
      </c>
      <c r="AU129" s="9">
        <v>343</v>
      </c>
      <c r="AV129" s="9" t="str">
        <f>IFERROR(MID(VLOOKUP($B129,Seqs!$A:$B,2,0),AW129,1),"")</f>
        <v>S</v>
      </c>
      <c r="AW129" s="9">
        <v>346</v>
      </c>
      <c r="AX129" s="9" t="str">
        <f>IFERROR(MID(VLOOKUP($B129,Seqs!$A:$B,2,0),AY129,1),"")</f>
        <v>C</v>
      </c>
      <c r="AY129" s="9">
        <v>358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 t="shared" ref="BB129" si="1176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 t="shared" ref="BC129" si="1177">_xlfn.AGGREGATE(9,6,CH129:CS129)-_xlfn.AGGREGATE(9,6,BV129:CG129)+12</f>
        <v>252</v>
      </c>
      <c r="BD129" s="13" t="s">
        <v>23</v>
      </c>
      <c r="BE129" s="9" t="s">
        <v>1287</v>
      </c>
      <c r="BF129" s="119">
        <v>3.3</v>
      </c>
      <c r="BG129" s="51" t="s">
        <v>1</v>
      </c>
      <c r="BH129" s="51" t="s">
        <v>1</v>
      </c>
      <c r="BJ129" s="111" t="s">
        <v>1283</v>
      </c>
      <c r="BK129" s="112" t="s">
        <v>1283</v>
      </c>
      <c r="BL129" s="112" t="s">
        <v>1283</v>
      </c>
      <c r="BM129" s="112" t="s">
        <v>1283</v>
      </c>
      <c r="BN129" s="112" t="s">
        <v>1283</v>
      </c>
      <c r="BO129" s="112" t="s">
        <v>1283</v>
      </c>
      <c r="BP129" s="112" t="s">
        <v>1283</v>
      </c>
      <c r="BQ129" s="112" t="s">
        <v>1283</v>
      </c>
      <c r="BR129" s="112" t="s">
        <v>1283</v>
      </c>
      <c r="BS129" s="112" t="s">
        <v>1283</v>
      </c>
      <c r="BT129" s="112" t="s">
        <v>1283</v>
      </c>
      <c r="BU129" s="112" t="s">
        <v>1283</v>
      </c>
      <c r="BV129" s="111">
        <f t="shared" ref="BV129" si="1178">E129</f>
        <v>44</v>
      </c>
      <c r="BW129" s="113">
        <f t="shared" ref="BW129" si="1179">I129</f>
        <v>70</v>
      </c>
      <c r="BX129" s="114">
        <f t="shared" ref="BX129" si="1180">M129</f>
        <v>74</v>
      </c>
      <c r="BY129" s="113">
        <f t="shared" ref="BY129" si="1181">Q129</f>
        <v>106</v>
      </c>
      <c r="BZ129" s="114">
        <f t="shared" ref="BZ129" si="1182">U129</f>
        <v>110</v>
      </c>
      <c r="CA129" s="113">
        <f t="shared" ref="CA129" si="1183">Y129</f>
        <v>146</v>
      </c>
      <c r="CB129" s="114">
        <f t="shared" ref="CB129" si="1184">AC129</f>
        <v>154</v>
      </c>
      <c r="CC129" s="113">
        <f t="shared" ref="CC129" si="1185">AG129</f>
        <v>199</v>
      </c>
      <c r="CD129" s="114">
        <f t="shared" ref="CD129" si="1186">AK129</f>
        <v>204</v>
      </c>
      <c r="CE129" s="113">
        <f t="shared" ref="CE129" si="1187">AO129</f>
        <v>280</v>
      </c>
      <c r="CF129" s="114">
        <f t="shared" ref="CF129" si="1188">AS129</f>
        <v>321</v>
      </c>
      <c r="CG129" s="113">
        <f t="shared" ref="CG129" si="1189">AW129</f>
        <v>346</v>
      </c>
      <c r="CH129" s="111">
        <f t="shared" ref="CH129" si="1190">G129</f>
        <v>69</v>
      </c>
      <c r="CI129" s="113">
        <f t="shared" ref="CI129" si="1191">K129</f>
        <v>73</v>
      </c>
      <c r="CJ129" s="114">
        <f t="shared" ref="CJ129" si="1192">O129</f>
        <v>105</v>
      </c>
      <c r="CK129" s="114">
        <f t="shared" ref="CK129" si="1193">S129</f>
        <v>109</v>
      </c>
      <c r="CL129" s="114">
        <f t="shared" ref="CL129" si="1194">W129</f>
        <v>145</v>
      </c>
      <c r="CM129" s="114">
        <f t="shared" ref="CM129" si="1195">AA129</f>
        <v>153</v>
      </c>
      <c r="CN129" s="114">
        <f t="shared" ref="CN129" si="1196">AE129</f>
        <v>180</v>
      </c>
      <c r="CO129" s="114">
        <f t="shared" ref="CO129" si="1197">AI129</f>
        <v>201</v>
      </c>
      <c r="CP129" s="114">
        <f t="shared" ref="CP129" si="1198">AM129</f>
        <v>242</v>
      </c>
      <c r="CQ129" s="114">
        <f t="shared" ref="CQ129" si="1199">AQ129</f>
        <v>316</v>
      </c>
      <c r="CR129" s="114">
        <f t="shared" ref="CR129" si="1200">AU129</f>
        <v>343</v>
      </c>
      <c r="CS129" s="114">
        <f t="shared" ref="CS129" si="1201">AY129</f>
        <v>358</v>
      </c>
      <c r="CT129" s="109">
        <f t="shared" ref="CT129" si="1202">M129-K129</f>
        <v>1</v>
      </c>
    </row>
    <row r="130" spans="1:1029" x14ac:dyDescent="0.2">
      <c r="A130" s="3" t="str">
        <f t="shared" si="559"/>
        <v>adrb2_human__wt</v>
      </c>
      <c r="B130" s="3" t="s">
        <v>126</v>
      </c>
      <c r="C130" s="3" t="s">
        <v>100</v>
      </c>
      <c r="D130" s="3" t="str">
        <f>IFERROR(MID(VLOOKUP($B130,Seqs!$A:$B,2,0),E130,1),"")</f>
        <v>Q</v>
      </c>
      <c r="E130" s="3">
        <v>26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K</v>
      </c>
      <c r="O130" s="105">
        <v>97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>P</v>
      </c>
      <c r="Y130" s="3">
        <v>138</v>
      </c>
      <c r="Z130" s="3" t="str">
        <f>IFERROR(MID(VLOOKUP($B130,Seqs!$A:$B,2,0),AA130,1),"")</f>
        <v>L</v>
      </c>
      <c r="AA130" s="3">
        <v>145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E</v>
      </c>
      <c r="AM130" s="3">
        <v>237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560"/>
        <v>1</v>
      </c>
      <c r="BC130" s="23">
        <f t="shared" si="981"/>
        <v>268</v>
      </c>
      <c r="BD130" s="56" t="s">
        <v>23</v>
      </c>
      <c r="BE130" s="3" t="s">
        <v>23</v>
      </c>
      <c r="BF130" s="118" t="s">
        <v>23</v>
      </c>
      <c r="BG130" s="49" t="s">
        <v>1368</v>
      </c>
      <c r="BH130" s="49" t="s">
        <v>1373</v>
      </c>
      <c r="BI130" s="3" t="s">
        <v>1161</v>
      </c>
      <c r="BJ130" s="70" t="s">
        <v>1283</v>
      </c>
      <c r="BK130" s="57" t="s">
        <v>1283</v>
      </c>
      <c r="BL130" s="57" t="s">
        <v>1283</v>
      </c>
      <c r="BM130" s="57" t="s">
        <v>1283</v>
      </c>
      <c r="BN130" s="57" t="s">
        <v>1283</v>
      </c>
      <c r="BO130" s="57" t="s">
        <v>1283</v>
      </c>
      <c r="BP130" s="57" t="s">
        <v>1283</v>
      </c>
      <c r="BQ130" s="57" t="s">
        <v>1283</v>
      </c>
      <c r="BR130" s="57" t="s">
        <v>1283</v>
      </c>
      <c r="BS130" s="57" t="s">
        <v>1283</v>
      </c>
      <c r="BT130" s="57" t="s">
        <v>1283</v>
      </c>
      <c r="BU130" s="57" t="s">
        <v>1283</v>
      </c>
      <c r="BV130" s="70">
        <f t="shared" si="982"/>
        <v>26</v>
      </c>
      <c r="BW130" s="71">
        <f t="shared" si="983"/>
        <v>62</v>
      </c>
      <c r="BX130" s="72">
        <f t="shared" si="984"/>
        <v>66</v>
      </c>
      <c r="BY130" s="71">
        <f t="shared" si="985"/>
        <v>98</v>
      </c>
      <c r="BZ130" s="72">
        <f t="shared" si="986"/>
        <v>102</v>
      </c>
      <c r="CA130" s="71">
        <f t="shared" si="987"/>
        <v>138</v>
      </c>
      <c r="CB130" s="72">
        <f t="shared" si="988"/>
        <v>146</v>
      </c>
      <c r="CC130" s="71">
        <f t="shared" si="989"/>
        <v>191</v>
      </c>
      <c r="CD130" s="72">
        <f t="shared" si="990"/>
        <v>196</v>
      </c>
      <c r="CE130" s="71">
        <f t="shared" si="991"/>
        <v>262</v>
      </c>
      <c r="CF130" s="72">
        <f t="shared" si="992"/>
        <v>304</v>
      </c>
      <c r="CG130" s="71">
        <f t="shared" si="993"/>
        <v>329</v>
      </c>
      <c r="CH130" s="70">
        <f t="shared" si="994"/>
        <v>61</v>
      </c>
      <c r="CI130" s="71">
        <f t="shared" si="995"/>
        <v>65</v>
      </c>
      <c r="CJ130" s="72">
        <f t="shared" si="996"/>
        <v>97</v>
      </c>
      <c r="CK130" s="72">
        <f t="shared" si="997"/>
        <v>101</v>
      </c>
      <c r="CL130" s="72">
        <f t="shared" si="998"/>
        <v>137</v>
      </c>
      <c r="CM130" s="72">
        <f t="shared" si="999"/>
        <v>145</v>
      </c>
      <c r="CN130" s="72">
        <f t="shared" si="1000"/>
        <v>172</v>
      </c>
      <c r="CO130" s="72">
        <f t="shared" si="1001"/>
        <v>193</v>
      </c>
      <c r="CP130" s="72">
        <f t="shared" si="1002"/>
        <v>237</v>
      </c>
      <c r="CQ130" s="72">
        <f t="shared" si="1003"/>
        <v>299</v>
      </c>
      <c r="CR130" s="72">
        <f t="shared" si="1004"/>
        <v>328</v>
      </c>
      <c r="CS130" s="72">
        <f t="shared" si="1005"/>
        <v>341</v>
      </c>
      <c r="CT130" s="23">
        <f t="shared" si="1006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559"/>
        <v>adrb2_human_2RH1</v>
      </c>
      <c r="B131" s="3" t="s">
        <v>126</v>
      </c>
      <c r="C131" s="3" t="s">
        <v>75</v>
      </c>
      <c r="D131" s="3" t="str">
        <f>IFERROR(MID(VLOOKUP($B131,Seqs!$A:$B,2,0),E131,1),"")</f>
        <v>D</v>
      </c>
      <c r="E131" s="3">
        <v>29</v>
      </c>
      <c r="F131" s="3" t="str">
        <f>IFERROR(MID(VLOOKUP($B131,Seqs!$A:$B,2,0),G131,1),"")</f>
        <v>F</v>
      </c>
      <c r="G131" s="3">
        <v>61</v>
      </c>
      <c r="H131" s="3" t="str">
        <f>IFERROR(MID(VLOOKUP($B131,Seqs!$A:$B,2,0),I131,1),"")</f>
        <v>E</v>
      </c>
      <c r="I131" s="23">
        <v>62</v>
      </c>
      <c r="J131" s="3" t="str">
        <f>IFERROR(MID(VLOOKUP($B131,Seqs!$A:$B,2,0),K131,1),"")</f>
        <v>Q</v>
      </c>
      <c r="K131" s="23">
        <v>65</v>
      </c>
      <c r="L131" s="3" t="str">
        <f>IFERROR(MID(VLOOKUP($B131,Seqs!$A:$B,2,0),M131,1),"")</f>
        <v>T</v>
      </c>
      <c r="M131" s="3">
        <v>66</v>
      </c>
      <c r="N131" s="3" t="str">
        <f>IFERROR(MID(VLOOKUP($B131,Seqs!$A:$B,2,0),O131,1),"")</f>
        <v>M</v>
      </c>
      <c r="O131" s="3">
        <v>96</v>
      </c>
      <c r="P131" s="3" t="str">
        <f>IFERROR(MID(VLOOKUP($B131,Seqs!$A:$B,2,0),Q131,1),"")</f>
        <v>M</v>
      </c>
      <c r="Q131" s="3">
        <v>98</v>
      </c>
      <c r="R131" s="3" t="str">
        <f>IFERROR(MID(VLOOKUP($B131,Seqs!$A:$B,2,0),S131,1),"")</f>
        <v>F</v>
      </c>
      <c r="S131" s="3">
        <v>101</v>
      </c>
      <c r="T131" s="3" t="str">
        <f>IFERROR(MID(VLOOKUP($B131,Seqs!$A:$B,2,0),U131,1),"")</f>
        <v>G</v>
      </c>
      <c r="U131" s="3">
        <v>102</v>
      </c>
      <c r="V131" s="3" t="str">
        <f>IFERROR(MID(VLOOKUP($B131,Seqs!$A:$B,2,0),W131,1),"")</f>
        <v>S</v>
      </c>
      <c r="W131" s="3">
        <v>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146</v>
      </c>
      <c r="AD131" s="3" t="str">
        <f>IFERROR(MID(VLOOKUP($B131,Seqs!$A:$B,2,0),AE131,1),"")</f>
        <v>H</v>
      </c>
      <c r="AE131" s="3">
        <v>172</v>
      </c>
      <c r="AF131" s="3" t="str">
        <f>IFERROR(MID(VLOOKUP($B131,Seqs!$A:$B,2,0),AG131,1),"")</f>
        <v>C</v>
      </c>
      <c r="AG131" s="3">
        <v>191</v>
      </c>
      <c r="AH131" s="3" t="str">
        <f>IFERROR(MID(VLOOKUP($B131,Seqs!$A:$B,2,0),AI131,1),"")</f>
        <v>F</v>
      </c>
      <c r="AI131" s="3">
        <v>193</v>
      </c>
      <c r="AJ131" s="3" t="str">
        <f>IFERROR(MID(VLOOKUP($B131,Seqs!$A:$B,2,0),AK131,1),"")</f>
        <v>N</v>
      </c>
      <c r="AK131" s="3">
        <v>196</v>
      </c>
      <c r="AL131" s="3" t="str">
        <f>IFERROR(MID(VLOOKUP($B131,Seqs!$A:$B,2,0),AM131,1),"")</f>
        <v>Q</v>
      </c>
      <c r="AM131" s="3">
        <v>229</v>
      </c>
      <c r="AN131" s="3" t="str">
        <f>IFERROR(MID(VLOOKUP($B131,Seqs!$A:$B,2,0),AO131,1),"")</f>
        <v>K</v>
      </c>
      <c r="AO131" s="3">
        <v>267</v>
      </c>
      <c r="AP131" s="3" t="str">
        <f>IFERROR(MID(VLOOKUP($B131,Seqs!$A:$B,2,0),AQ131,1),"")</f>
        <v>Q</v>
      </c>
      <c r="AQ131" s="3">
        <v>299</v>
      </c>
      <c r="AR131" s="3" t="str">
        <f>IFERROR(MID(VLOOKUP($B131,Seqs!$A:$B,2,0),AS131,1),"")</f>
        <v>R</v>
      </c>
      <c r="AS131" s="3">
        <v>304</v>
      </c>
      <c r="AT131" s="3" t="str">
        <f>IFERROR(MID(VLOOKUP($B131,Seqs!$A:$B,2,0),AU131,1),"")</f>
        <v>R</v>
      </c>
      <c r="AU131" s="3">
        <v>328</v>
      </c>
      <c r="AV131" s="3" t="str">
        <f>IFERROR(MID(VLOOKUP($B131,Seqs!$A:$B,2,0),AW131,1),"")</f>
        <v>S</v>
      </c>
      <c r="AW131" s="3">
        <v>329</v>
      </c>
      <c r="AX131" s="3" t="str">
        <f>IFERROR(MID(VLOOKUP($B131,Seqs!$A:$B,2,0),AY131,1),"")</f>
        <v>C</v>
      </c>
      <c r="AY131" s="3">
        <v>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560"/>
        <v>1</v>
      </c>
      <c r="BC131" s="23">
        <f t="shared" si="981"/>
        <v>244</v>
      </c>
      <c r="BD131" s="4" t="s">
        <v>23</v>
      </c>
      <c r="BE131" s="3" t="s">
        <v>1370</v>
      </c>
      <c r="BF131" s="118">
        <v>2.4</v>
      </c>
      <c r="BG131" s="49" t="s">
        <v>1373</v>
      </c>
      <c r="BH131" s="49" t="s">
        <v>1373</v>
      </c>
      <c r="BI131" s="1"/>
      <c r="BJ131" s="70" t="s">
        <v>1283</v>
      </c>
      <c r="BK131" s="57" t="s">
        <v>1283</v>
      </c>
      <c r="BL131" s="57" t="s">
        <v>1283</v>
      </c>
      <c r="BM131" s="57" t="s">
        <v>1283</v>
      </c>
      <c r="BN131" s="57" t="s">
        <v>1283</v>
      </c>
      <c r="BO131" s="57" t="s">
        <v>1283</v>
      </c>
      <c r="BP131" s="57" t="s">
        <v>1283</v>
      </c>
      <c r="BQ131" s="57" t="s">
        <v>1283</v>
      </c>
      <c r="BR131" s="57" t="s">
        <v>1283</v>
      </c>
      <c r="BS131" s="57" t="s">
        <v>1283</v>
      </c>
      <c r="BT131" s="57" t="s">
        <v>1283</v>
      </c>
      <c r="BU131" s="57" t="s">
        <v>1283</v>
      </c>
      <c r="BV131" s="70">
        <f t="shared" si="982"/>
        <v>29</v>
      </c>
      <c r="BW131" s="71">
        <f t="shared" si="983"/>
        <v>62</v>
      </c>
      <c r="BX131" s="72">
        <f t="shared" si="984"/>
        <v>66</v>
      </c>
      <c r="BY131" s="71">
        <f t="shared" si="985"/>
        <v>98</v>
      </c>
      <c r="BZ131" s="72">
        <f t="shared" si="986"/>
        <v>102</v>
      </c>
      <c r="CA131" s="71" t="str">
        <f t="shared" si="987"/>
        <v>-</v>
      </c>
      <c r="CB131" s="72">
        <f t="shared" si="988"/>
        <v>146</v>
      </c>
      <c r="CC131" s="71">
        <f t="shared" si="989"/>
        <v>191</v>
      </c>
      <c r="CD131" s="72">
        <f t="shared" si="990"/>
        <v>196</v>
      </c>
      <c r="CE131" s="71">
        <f t="shared" si="991"/>
        <v>267</v>
      </c>
      <c r="CF131" s="72">
        <f t="shared" si="992"/>
        <v>304</v>
      </c>
      <c r="CG131" s="71">
        <f t="shared" si="993"/>
        <v>329</v>
      </c>
      <c r="CH131" s="70">
        <f t="shared" si="994"/>
        <v>61</v>
      </c>
      <c r="CI131" s="71">
        <f t="shared" si="995"/>
        <v>65</v>
      </c>
      <c r="CJ131" s="72">
        <f t="shared" si="996"/>
        <v>96</v>
      </c>
      <c r="CK131" s="72">
        <f t="shared" si="997"/>
        <v>101</v>
      </c>
      <c r="CL131" s="72">
        <f t="shared" si="998"/>
        <v>137</v>
      </c>
      <c r="CM131" s="72" t="str">
        <f t="shared" si="999"/>
        <v>-</v>
      </c>
      <c r="CN131" s="72">
        <f t="shared" si="1000"/>
        <v>172</v>
      </c>
      <c r="CO131" s="72">
        <f t="shared" si="1001"/>
        <v>193</v>
      </c>
      <c r="CP131" s="72">
        <f t="shared" si="1002"/>
        <v>229</v>
      </c>
      <c r="CQ131" s="72">
        <f t="shared" si="1003"/>
        <v>299</v>
      </c>
      <c r="CR131" s="72">
        <f t="shared" si="1004"/>
        <v>328</v>
      </c>
      <c r="CS131" s="72">
        <f t="shared" si="1005"/>
        <v>341</v>
      </c>
      <c r="CT131" s="23">
        <f t="shared" si="1006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559"/>
        <v>adrb2_human_3D4S</v>
      </c>
      <c r="B132" s="3" t="s">
        <v>126</v>
      </c>
      <c r="C132" s="3" t="s">
        <v>76</v>
      </c>
      <c r="D132" s="3" t="str">
        <f>IFERROR(MID(VLOOKUP($B132,Seqs!$A:$B,2,0),E132,1),"")</f>
        <v>W</v>
      </c>
      <c r="E132" s="3">
        <v>32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si="560"/>
        <v>1</v>
      </c>
      <c r="BC132" s="23">
        <f t="shared" si="981"/>
        <v>241</v>
      </c>
      <c r="BD132" s="4" t="s">
        <v>23</v>
      </c>
      <c r="BE132" s="3" t="s">
        <v>1370</v>
      </c>
      <c r="BF132" s="118">
        <v>2.8</v>
      </c>
      <c r="BG132" s="49" t="s">
        <v>1373</v>
      </c>
      <c r="BH132" s="49" t="s">
        <v>1373</v>
      </c>
      <c r="BI132" s="1"/>
      <c r="BJ132" s="70" t="s">
        <v>1283</v>
      </c>
      <c r="BK132" s="57" t="s">
        <v>1283</v>
      </c>
      <c r="BL132" s="57" t="s">
        <v>1283</v>
      </c>
      <c r="BM132" s="57" t="s">
        <v>1283</v>
      </c>
      <c r="BN132" s="57" t="s">
        <v>1283</v>
      </c>
      <c r="BO132" s="57" t="s">
        <v>1283</v>
      </c>
      <c r="BP132" s="57" t="s">
        <v>1283</v>
      </c>
      <c r="BQ132" s="57" t="s">
        <v>1283</v>
      </c>
      <c r="BR132" s="57" t="s">
        <v>1283</v>
      </c>
      <c r="BS132" s="57" t="s">
        <v>1283</v>
      </c>
      <c r="BT132" s="57" t="s">
        <v>1283</v>
      </c>
      <c r="BU132" s="57" t="s">
        <v>1283</v>
      </c>
      <c r="BV132" s="70">
        <f t="shared" si="982"/>
        <v>32</v>
      </c>
      <c r="BW132" s="71">
        <f t="shared" si="983"/>
        <v>62</v>
      </c>
      <c r="BX132" s="72">
        <f t="shared" si="984"/>
        <v>66</v>
      </c>
      <c r="BY132" s="71">
        <f t="shared" si="985"/>
        <v>98</v>
      </c>
      <c r="BZ132" s="72">
        <f t="shared" si="986"/>
        <v>102</v>
      </c>
      <c r="CA132" s="71" t="str">
        <f t="shared" si="987"/>
        <v>-</v>
      </c>
      <c r="CB132" s="72">
        <f t="shared" si="988"/>
        <v>146</v>
      </c>
      <c r="CC132" s="71">
        <f t="shared" si="989"/>
        <v>191</v>
      </c>
      <c r="CD132" s="72">
        <f t="shared" si="990"/>
        <v>196</v>
      </c>
      <c r="CE132" s="71">
        <f t="shared" si="991"/>
        <v>267</v>
      </c>
      <c r="CF132" s="72">
        <f t="shared" si="992"/>
        <v>304</v>
      </c>
      <c r="CG132" s="71">
        <f t="shared" si="993"/>
        <v>329</v>
      </c>
      <c r="CH132" s="70">
        <f t="shared" si="994"/>
        <v>61</v>
      </c>
      <c r="CI132" s="71">
        <f t="shared" si="995"/>
        <v>65</v>
      </c>
      <c r="CJ132" s="72">
        <f t="shared" si="996"/>
        <v>96</v>
      </c>
      <c r="CK132" s="72">
        <f t="shared" si="997"/>
        <v>101</v>
      </c>
      <c r="CL132" s="72">
        <f t="shared" si="998"/>
        <v>137</v>
      </c>
      <c r="CM132" s="72" t="str">
        <f t="shared" si="999"/>
        <v>-</v>
      </c>
      <c r="CN132" s="72">
        <f t="shared" si="1000"/>
        <v>172</v>
      </c>
      <c r="CO132" s="72">
        <f t="shared" si="1001"/>
        <v>193</v>
      </c>
      <c r="CP132" s="72">
        <f t="shared" si="1002"/>
        <v>229</v>
      </c>
      <c r="CQ132" s="72">
        <f t="shared" si="1003"/>
        <v>299</v>
      </c>
      <c r="CR132" s="72">
        <f t="shared" si="1004"/>
        <v>328</v>
      </c>
      <c r="CS132" s="72">
        <f t="shared" si="1005"/>
        <v>341</v>
      </c>
      <c r="CT132" s="23">
        <f t="shared" si="1006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559"/>
        <v>adrb2_human_3NY8</v>
      </c>
      <c r="B133" s="3" t="s">
        <v>126</v>
      </c>
      <c r="C133" s="3" t="s">
        <v>1329</v>
      </c>
      <c r="D133" s="3" t="str">
        <f>IFERROR(MID(VLOOKUP($B133,Seqs!$A:$B,2,0),E133,1),"")</f>
        <v>W</v>
      </c>
      <c r="E133" s="3">
        <v>32</v>
      </c>
      <c r="F133" s="3" t="str">
        <f>IFERROR(MID(VLOOKUP($B133,Seqs!$A:$B,2,0),G133,1),"")</f>
        <v>F</v>
      </c>
      <c r="G133" s="3">
        <v>61</v>
      </c>
      <c r="H133" s="3" t="str">
        <f>IFERROR(MID(VLOOKUP($B133,Seqs!$A:$B,2,0),I133,1),"")</f>
        <v>E</v>
      </c>
      <c r="I133" s="23">
        <v>62</v>
      </c>
      <c r="J133" s="3" t="str">
        <f>IFERROR(MID(VLOOKUP($B133,Seqs!$A:$B,2,0),K133,1),"")</f>
        <v>Q</v>
      </c>
      <c r="K133" s="23">
        <v>65</v>
      </c>
      <c r="L133" s="3" t="str">
        <f>IFERROR(MID(VLOOKUP($B133,Seqs!$A:$B,2,0),M133,1),"")</f>
        <v>T</v>
      </c>
      <c r="M133" s="3">
        <v>66</v>
      </c>
      <c r="N133" s="3" t="str">
        <f>IFERROR(MID(VLOOKUP($B133,Seqs!$A:$B,2,0),O133,1),"")</f>
        <v>K</v>
      </c>
      <c r="O133" s="3">
        <v>97</v>
      </c>
      <c r="P133" s="3" t="str">
        <f>IFERROR(MID(VLOOKUP($B133,Seqs!$A:$B,2,0),Q133,1),"")</f>
        <v>M</v>
      </c>
      <c r="Q133" s="3">
        <v>98</v>
      </c>
      <c r="R133" s="3" t="str">
        <f>IFERROR(MID(VLOOKUP($B133,Seqs!$A:$B,2,0),S133,1),"")</f>
        <v>F</v>
      </c>
      <c r="S133" s="3">
        <v>101</v>
      </c>
      <c r="T133" s="3" t="str">
        <f>IFERROR(MID(VLOOKUP($B133,Seqs!$A:$B,2,0),U133,1),"")</f>
        <v>G</v>
      </c>
      <c r="U133" s="3">
        <v>102</v>
      </c>
      <c r="V133" s="3" t="str">
        <f>IFERROR(MID(VLOOKUP($B133,Seqs!$A:$B,2,0),W133,1),"")</f>
        <v>S</v>
      </c>
      <c r="W133" s="3">
        <v>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146</v>
      </c>
      <c r="AD133" s="3" t="str">
        <f>IFERROR(MID(VLOOKUP($B133,Seqs!$A:$B,2,0),AE133,1),"")</f>
        <v>H</v>
      </c>
      <c r="AE133" s="3">
        <v>172</v>
      </c>
      <c r="AF133" s="3" t="str">
        <f>IFERROR(MID(VLOOKUP($B133,Seqs!$A:$B,2,0),AG133,1),"")</f>
        <v>C</v>
      </c>
      <c r="AG133" s="3">
        <v>191</v>
      </c>
      <c r="AH133" s="3" t="str">
        <f>IFERROR(MID(VLOOKUP($B133,Seqs!$A:$B,2,0),AI133,1),"")</f>
        <v>F</v>
      </c>
      <c r="AI133" s="3">
        <v>193</v>
      </c>
      <c r="AJ133" s="3" t="str">
        <f>IFERROR(MID(VLOOKUP($B133,Seqs!$A:$B,2,0),AK133,1),"")</f>
        <v>N</v>
      </c>
      <c r="AK133" s="3">
        <v>196</v>
      </c>
      <c r="AL133" s="3" t="str">
        <f>IFERROR(MID(VLOOKUP($B133,Seqs!$A:$B,2,0),AM133,1),"")</f>
        <v>Q</v>
      </c>
      <c r="AM133" s="3">
        <v>229</v>
      </c>
      <c r="AN133" s="3" t="str">
        <f>IFERROR(MID(VLOOKUP($B133,Seqs!$A:$B,2,0),AO133,1),"")</f>
        <v>K</v>
      </c>
      <c r="AO133" s="3">
        <v>267</v>
      </c>
      <c r="AP133" s="3" t="str">
        <f>IFERROR(MID(VLOOKUP($B133,Seqs!$A:$B,2,0),AQ133,1),"")</f>
        <v>Q</v>
      </c>
      <c r="AQ133" s="3">
        <v>299</v>
      </c>
      <c r="AR133" s="3" t="str">
        <f>IFERROR(MID(VLOOKUP($B133,Seqs!$A:$B,2,0),AS133,1),"")</f>
        <v>R</v>
      </c>
      <c r="AS133" s="3">
        <v>304</v>
      </c>
      <c r="AT133" s="3" t="str">
        <f>IFERROR(MID(VLOOKUP($B133,Seqs!$A:$B,2,0),AU133,1),"")</f>
        <v>R</v>
      </c>
      <c r="AU133" s="3">
        <v>328</v>
      </c>
      <c r="AV133" s="3" t="str">
        <f>IFERROR(MID(VLOOKUP($B133,Seqs!$A:$B,2,0),AW133,1),"")</f>
        <v>S</v>
      </c>
      <c r="AW133" s="3">
        <v>329</v>
      </c>
      <c r="AX133" s="3" t="str">
        <f>IFERROR(MID(VLOOKUP($B133,Seqs!$A:$B,2,0),AY133,1),"")</f>
        <v>C</v>
      </c>
      <c r="AY133" s="3">
        <v>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560"/>
        <v>1</v>
      </c>
      <c r="BC133" s="23">
        <f t="shared" si="981"/>
        <v>242</v>
      </c>
      <c r="BD133" s="4" t="s">
        <v>23</v>
      </c>
      <c r="BE133" s="3" t="s">
        <v>1370</v>
      </c>
      <c r="BF133" s="118">
        <v>2.84</v>
      </c>
      <c r="BG133" s="49" t="s">
        <v>1373</v>
      </c>
      <c r="BH133" s="49" t="s">
        <v>1373</v>
      </c>
      <c r="BI133" s="1"/>
      <c r="BJ133" s="70" t="s">
        <v>1283</v>
      </c>
      <c r="BK133" s="57" t="s">
        <v>1283</v>
      </c>
      <c r="BL133" s="57" t="s">
        <v>1283</v>
      </c>
      <c r="BM133" s="57" t="s">
        <v>1283</v>
      </c>
      <c r="BN133" s="57" t="s">
        <v>1283</v>
      </c>
      <c r="BO133" s="57" t="s">
        <v>1283</v>
      </c>
      <c r="BP133" s="57" t="s">
        <v>1283</v>
      </c>
      <c r="BQ133" s="57" t="s">
        <v>1283</v>
      </c>
      <c r="BR133" s="57" t="s">
        <v>1283</v>
      </c>
      <c r="BS133" s="57" t="s">
        <v>1283</v>
      </c>
      <c r="BT133" s="57" t="s">
        <v>1283</v>
      </c>
      <c r="BU133" s="57" t="s">
        <v>1283</v>
      </c>
      <c r="BV133" s="70">
        <f t="shared" si="982"/>
        <v>32</v>
      </c>
      <c r="BW133" s="71">
        <f t="shared" si="983"/>
        <v>62</v>
      </c>
      <c r="BX133" s="72">
        <f t="shared" si="984"/>
        <v>66</v>
      </c>
      <c r="BY133" s="71">
        <f t="shared" si="985"/>
        <v>98</v>
      </c>
      <c r="BZ133" s="72">
        <f t="shared" si="986"/>
        <v>102</v>
      </c>
      <c r="CA133" s="71" t="str">
        <f t="shared" si="987"/>
        <v>-</v>
      </c>
      <c r="CB133" s="72">
        <f t="shared" si="988"/>
        <v>146</v>
      </c>
      <c r="CC133" s="71">
        <f t="shared" si="989"/>
        <v>191</v>
      </c>
      <c r="CD133" s="72">
        <f t="shared" si="990"/>
        <v>196</v>
      </c>
      <c r="CE133" s="71">
        <f t="shared" si="991"/>
        <v>267</v>
      </c>
      <c r="CF133" s="72">
        <f t="shared" si="992"/>
        <v>304</v>
      </c>
      <c r="CG133" s="71">
        <f t="shared" si="993"/>
        <v>329</v>
      </c>
      <c r="CH133" s="70">
        <f t="shared" si="994"/>
        <v>61</v>
      </c>
      <c r="CI133" s="71">
        <f t="shared" si="995"/>
        <v>65</v>
      </c>
      <c r="CJ133" s="72">
        <f t="shared" si="996"/>
        <v>97</v>
      </c>
      <c r="CK133" s="72">
        <f t="shared" si="997"/>
        <v>101</v>
      </c>
      <c r="CL133" s="72">
        <f t="shared" si="998"/>
        <v>137</v>
      </c>
      <c r="CM133" s="72" t="str">
        <f t="shared" si="999"/>
        <v>-</v>
      </c>
      <c r="CN133" s="72">
        <f t="shared" si="1000"/>
        <v>172</v>
      </c>
      <c r="CO133" s="72">
        <f t="shared" si="1001"/>
        <v>193</v>
      </c>
      <c r="CP133" s="72">
        <f t="shared" si="1002"/>
        <v>229</v>
      </c>
      <c r="CQ133" s="72">
        <f t="shared" si="1003"/>
        <v>299</v>
      </c>
      <c r="CR133" s="72">
        <f t="shared" si="1004"/>
        <v>328</v>
      </c>
      <c r="CS133" s="72">
        <f t="shared" si="1005"/>
        <v>341</v>
      </c>
      <c r="CT133" s="23">
        <f t="shared" si="1006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559"/>
        <v>adrb2_human_3NY9</v>
      </c>
      <c r="B134" s="3" t="s">
        <v>126</v>
      </c>
      <c r="C134" s="3" t="s">
        <v>1025</v>
      </c>
      <c r="D134" s="3" t="str">
        <f>IFERROR(MID(VLOOKUP($B134,Seqs!$A:$B,2,0),E134,1),"")</f>
        <v>W</v>
      </c>
      <c r="E134" s="3">
        <v>32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K</v>
      </c>
      <c r="O134" s="3">
        <v>97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S</v>
      </c>
      <c r="W134" s="3">
        <v>137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Q</v>
      </c>
      <c r="AM134" s="3">
        <v>229</v>
      </c>
      <c r="AN134" s="3" t="str">
        <f>IFERROR(MID(VLOOKUP($B134,Seqs!$A:$B,2,0),AO134,1),"")</f>
        <v>K</v>
      </c>
      <c r="AO134" s="3">
        <v>267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si="560"/>
        <v>1</v>
      </c>
      <c r="BC134" s="23">
        <f t="shared" si="981"/>
        <v>242</v>
      </c>
      <c r="BD134" s="4" t="s">
        <v>23</v>
      </c>
      <c r="BE134" s="3" t="s">
        <v>1370</v>
      </c>
      <c r="BF134" s="118">
        <v>2.84</v>
      </c>
      <c r="BG134" s="49" t="s">
        <v>1373</v>
      </c>
      <c r="BH134" s="49" t="s">
        <v>1373</v>
      </c>
      <c r="BI134" s="1"/>
      <c r="BJ134" s="70" t="s">
        <v>1283</v>
      </c>
      <c r="BK134" s="57" t="s">
        <v>1283</v>
      </c>
      <c r="BL134" s="57" t="s">
        <v>1283</v>
      </c>
      <c r="BM134" s="57" t="s">
        <v>1283</v>
      </c>
      <c r="BN134" s="57" t="s">
        <v>1283</v>
      </c>
      <c r="BO134" s="57" t="s">
        <v>1283</v>
      </c>
      <c r="BP134" s="57" t="s">
        <v>1283</v>
      </c>
      <c r="BQ134" s="57" t="s">
        <v>1283</v>
      </c>
      <c r="BR134" s="57" t="s">
        <v>1283</v>
      </c>
      <c r="BS134" s="57" t="s">
        <v>1283</v>
      </c>
      <c r="BT134" s="57" t="s">
        <v>1283</v>
      </c>
      <c r="BU134" s="57" t="s">
        <v>1283</v>
      </c>
      <c r="BV134" s="70">
        <f t="shared" si="982"/>
        <v>32</v>
      </c>
      <c r="BW134" s="71">
        <f t="shared" si="983"/>
        <v>62</v>
      </c>
      <c r="BX134" s="72">
        <f t="shared" si="984"/>
        <v>66</v>
      </c>
      <c r="BY134" s="71">
        <f t="shared" si="985"/>
        <v>98</v>
      </c>
      <c r="BZ134" s="72">
        <f t="shared" si="986"/>
        <v>102</v>
      </c>
      <c r="CA134" s="71" t="str">
        <f t="shared" si="987"/>
        <v>-</v>
      </c>
      <c r="CB134" s="72">
        <f t="shared" si="988"/>
        <v>146</v>
      </c>
      <c r="CC134" s="71">
        <f t="shared" si="989"/>
        <v>191</v>
      </c>
      <c r="CD134" s="72">
        <f t="shared" si="990"/>
        <v>196</v>
      </c>
      <c r="CE134" s="71">
        <f t="shared" si="991"/>
        <v>267</v>
      </c>
      <c r="CF134" s="72">
        <f t="shared" si="992"/>
        <v>304</v>
      </c>
      <c r="CG134" s="71">
        <f t="shared" si="993"/>
        <v>329</v>
      </c>
      <c r="CH134" s="70">
        <f t="shared" si="994"/>
        <v>61</v>
      </c>
      <c r="CI134" s="71">
        <f t="shared" si="995"/>
        <v>65</v>
      </c>
      <c r="CJ134" s="72">
        <f t="shared" si="996"/>
        <v>97</v>
      </c>
      <c r="CK134" s="72">
        <f t="shared" si="997"/>
        <v>101</v>
      </c>
      <c r="CL134" s="72">
        <f t="shared" si="998"/>
        <v>137</v>
      </c>
      <c r="CM134" s="72" t="str">
        <f t="shared" si="999"/>
        <v>-</v>
      </c>
      <c r="CN134" s="72">
        <f t="shared" si="1000"/>
        <v>172</v>
      </c>
      <c r="CO134" s="72">
        <f t="shared" si="1001"/>
        <v>193</v>
      </c>
      <c r="CP134" s="72">
        <f t="shared" si="1002"/>
        <v>229</v>
      </c>
      <c r="CQ134" s="72">
        <f t="shared" si="1003"/>
        <v>299</v>
      </c>
      <c r="CR134" s="72">
        <f t="shared" si="1004"/>
        <v>328</v>
      </c>
      <c r="CS134" s="72">
        <f t="shared" si="1005"/>
        <v>341</v>
      </c>
      <c r="CT134" s="23">
        <f t="shared" si="100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559"/>
        <v>adrb2_human_3NYA</v>
      </c>
      <c r="B135" s="3" t="s">
        <v>126</v>
      </c>
      <c r="C135" s="3" t="s">
        <v>1330</v>
      </c>
      <c r="D135" s="3" t="str">
        <f>IFERROR(MID(VLOOKUP($B135,Seqs!$A:$B,2,0),E135,1),"")</f>
        <v>W</v>
      </c>
      <c r="E135" s="3">
        <v>32</v>
      </c>
      <c r="F135" s="3" t="str">
        <f>IFERROR(MID(VLOOKUP($B135,Seqs!$A:$B,2,0),G135,1),"")</f>
        <v>F</v>
      </c>
      <c r="G135" s="3">
        <v>61</v>
      </c>
      <c r="H135" s="3" t="str">
        <f>IFERROR(MID(VLOOKUP($B135,Seqs!$A:$B,2,0),I135,1),"")</f>
        <v>E</v>
      </c>
      <c r="I135" s="23">
        <v>62</v>
      </c>
      <c r="J135" s="3" t="str">
        <f>IFERROR(MID(VLOOKUP($B135,Seqs!$A:$B,2,0),K135,1),"")</f>
        <v>Q</v>
      </c>
      <c r="K135" s="23">
        <v>65</v>
      </c>
      <c r="L135" s="3" t="str">
        <f>IFERROR(MID(VLOOKUP($B135,Seqs!$A:$B,2,0),M135,1),"")</f>
        <v>T</v>
      </c>
      <c r="M135" s="3">
        <v>66</v>
      </c>
      <c r="N135" s="3" t="str">
        <f>IFERROR(MID(VLOOKUP($B135,Seqs!$A:$B,2,0),O135,1),"")</f>
        <v>K</v>
      </c>
      <c r="O135" s="3">
        <v>97</v>
      </c>
      <c r="P135" s="3" t="str">
        <f>IFERROR(MID(VLOOKUP($B135,Seqs!$A:$B,2,0),Q135,1),"")</f>
        <v>M</v>
      </c>
      <c r="Q135" s="3">
        <v>98</v>
      </c>
      <c r="R135" s="3" t="str">
        <f>IFERROR(MID(VLOOKUP($B135,Seqs!$A:$B,2,0),S135,1),"")</f>
        <v>F</v>
      </c>
      <c r="S135" s="3">
        <v>101</v>
      </c>
      <c r="T135" s="3" t="str">
        <f>IFERROR(MID(VLOOKUP($B135,Seqs!$A:$B,2,0),U135,1),"")</f>
        <v>G</v>
      </c>
      <c r="U135" s="3">
        <v>102</v>
      </c>
      <c r="V135" s="3" t="str">
        <f>IFERROR(MID(VLOOKUP($B135,Seqs!$A:$B,2,0),W135,1),"")</f>
        <v>S</v>
      </c>
      <c r="W135" s="3">
        <v>137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T</v>
      </c>
      <c r="AC135" s="9">
        <v>146</v>
      </c>
      <c r="AD135" s="3" t="str">
        <f>IFERROR(MID(VLOOKUP($B135,Seqs!$A:$B,2,0),AE135,1),"")</f>
        <v>H</v>
      </c>
      <c r="AE135" s="3">
        <v>172</v>
      </c>
      <c r="AF135" s="3" t="str">
        <f>IFERROR(MID(VLOOKUP($B135,Seqs!$A:$B,2,0),AG135,1),"")</f>
        <v>C</v>
      </c>
      <c r="AG135" s="3">
        <v>191</v>
      </c>
      <c r="AH135" s="3" t="str">
        <f>IFERROR(MID(VLOOKUP($B135,Seqs!$A:$B,2,0),AI135,1),"")</f>
        <v>F</v>
      </c>
      <c r="AI135" s="3">
        <v>193</v>
      </c>
      <c r="AJ135" s="3" t="str">
        <f>IFERROR(MID(VLOOKUP($B135,Seqs!$A:$B,2,0),AK135,1),"")</f>
        <v>N</v>
      </c>
      <c r="AK135" s="3">
        <v>196</v>
      </c>
      <c r="AL135" s="3" t="str">
        <f>IFERROR(MID(VLOOKUP($B135,Seqs!$A:$B,2,0),AM135,1),"")</f>
        <v>Q</v>
      </c>
      <c r="AM135" s="3">
        <v>229</v>
      </c>
      <c r="AN135" s="3" t="str">
        <f>IFERROR(MID(VLOOKUP($B135,Seqs!$A:$B,2,0),AO135,1),"")</f>
        <v>K</v>
      </c>
      <c r="AO135" s="3">
        <v>267</v>
      </c>
      <c r="AP135" s="3" t="str">
        <f>IFERROR(MID(VLOOKUP($B135,Seqs!$A:$B,2,0),AQ135,1),"")</f>
        <v>Q</v>
      </c>
      <c r="AQ135" s="3">
        <v>299</v>
      </c>
      <c r="AR135" s="3" t="str">
        <f>IFERROR(MID(VLOOKUP($B135,Seqs!$A:$B,2,0),AS135,1),"")</f>
        <v>R</v>
      </c>
      <c r="AS135" s="3">
        <v>304</v>
      </c>
      <c r="AT135" s="3" t="str">
        <f>IFERROR(MID(VLOOKUP($B135,Seqs!$A:$B,2,0),AU135,1),"")</f>
        <v>R</v>
      </c>
      <c r="AU135" s="3">
        <v>328</v>
      </c>
      <c r="AV135" s="3" t="str">
        <f>IFERROR(MID(VLOOKUP($B135,Seqs!$A:$B,2,0),AW135,1),"")</f>
        <v>S</v>
      </c>
      <c r="AW135" s="3">
        <v>329</v>
      </c>
      <c r="AX135" s="3" t="str">
        <f>IFERROR(MID(VLOOKUP($B135,Seqs!$A:$B,2,0),AY135,1),"")</f>
        <v>C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Adrenoceptors</v>
      </c>
      <c r="BB135" s="27" t="b">
        <f t="shared" si="560"/>
        <v>1</v>
      </c>
      <c r="BC135" s="23">
        <f t="shared" si="981"/>
        <v>242</v>
      </c>
      <c r="BD135" s="4" t="s">
        <v>23</v>
      </c>
      <c r="BE135" s="3" t="s">
        <v>1370</v>
      </c>
      <c r="BF135" s="118">
        <v>3.16</v>
      </c>
      <c r="BG135" s="49" t="s">
        <v>1373</v>
      </c>
      <c r="BH135" s="49" t="s">
        <v>1373</v>
      </c>
      <c r="BI135" s="1"/>
      <c r="BJ135" s="70" t="s">
        <v>1283</v>
      </c>
      <c r="BK135" s="57" t="s">
        <v>1283</v>
      </c>
      <c r="BL135" s="57" t="s">
        <v>1283</v>
      </c>
      <c r="BM135" s="57" t="s">
        <v>1283</v>
      </c>
      <c r="BN135" s="57" t="s">
        <v>1283</v>
      </c>
      <c r="BO135" s="57" t="s">
        <v>1283</v>
      </c>
      <c r="BP135" s="57" t="s">
        <v>1283</v>
      </c>
      <c r="BQ135" s="57" t="s">
        <v>1283</v>
      </c>
      <c r="BR135" s="57" t="s">
        <v>1283</v>
      </c>
      <c r="BS135" s="57" t="s">
        <v>1283</v>
      </c>
      <c r="BT135" s="57" t="s">
        <v>1283</v>
      </c>
      <c r="BU135" s="57" t="s">
        <v>1283</v>
      </c>
      <c r="BV135" s="70">
        <f t="shared" si="982"/>
        <v>32</v>
      </c>
      <c r="BW135" s="71">
        <f t="shared" si="983"/>
        <v>62</v>
      </c>
      <c r="BX135" s="72">
        <f t="shared" si="984"/>
        <v>66</v>
      </c>
      <c r="BY135" s="71">
        <f t="shared" si="985"/>
        <v>98</v>
      </c>
      <c r="BZ135" s="72">
        <f t="shared" si="986"/>
        <v>102</v>
      </c>
      <c r="CA135" s="71" t="str">
        <f t="shared" si="987"/>
        <v>-</v>
      </c>
      <c r="CB135" s="72">
        <f t="shared" si="988"/>
        <v>146</v>
      </c>
      <c r="CC135" s="71">
        <f t="shared" si="989"/>
        <v>191</v>
      </c>
      <c r="CD135" s="72">
        <f t="shared" si="990"/>
        <v>196</v>
      </c>
      <c r="CE135" s="71">
        <f t="shared" si="991"/>
        <v>267</v>
      </c>
      <c r="CF135" s="72">
        <f t="shared" si="992"/>
        <v>304</v>
      </c>
      <c r="CG135" s="71">
        <f t="shared" si="993"/>
        <v>329</v>
      </c>
      <c r="CH135" s="70">
        <f t="shared" si="994"/>
        <v>61</v>
      </c>
      <c r="CI135" s="71">
        <f t="shared" si="995"/>
        <v>65</v>
      </c>
      <c r="CJ135" s="72">
        <f t="shared" si="996"/>
        <v>97</v>
      </c>
      <c r="CK135" s="72">
        <f t="shared" si="997"/>
        <v>101</v>
      </c>
      <c r="CL135" s="72">
        <f t="shared" si="998"/>
        <v>137</v>
      </c>
      <c r="CM135" s="72" t="str">
        <f t="shared" si="999"/>
        <v>-</v>
      </c>
      <c r="CN135" s="72">
        <f t="shared" si="1000"/>
        <v>172</v>
      </c>
      <c r="CO135" s="72">
        <f t="shared" si="1001"/>
        <v>193</v>
      </c>
      <c r="CP135" s="72">
        <f t="shared" si="1002"/>
        <v>229</v>
      </c>
      <c r="CQ135" s="72">
        <f t="shared" si="1003"/>
        <v>299</v>
      </c>
      <c r="CR135" s="72">
        <f t="shared" si="1004"/>
        <v>328</v>
      </c>
      <c r="CS135" s="72">
        <f t="shared" si="1005"/>
        <v>341</v>
      </c>
      <c r="CT135" s="23">
        <f t="shared" si="100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559"/>
        <v>adrb2_human_3P0G</v>
      </c>
      <c r="B136" s="3" t="s">
        <v>126</v>
      </c>
      <c r="C136" s="3" t="s">
        <v>66</v>
      </c>
      <c r="D136" s="3" t="str">
        <f>IFERROR(MID(VLOOKUP($B136,Seqs!$A:$B,2,0),E136,1),"")</f>
        <v>Q</v>
      </c>
      <c r="E136" s="3">
        <v>26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K</v>
      </c>
      <c r="O136" s="3">
        <v>97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>P</v>
      </c>
      <c r="Y136" s="3">
        <v>138</v>
      </c>
      <c r="Z136" s="3" t="str">
        <f>IFERROR(MID(VLOOKUP($B136,Seqs!$A:$B,2,0),AA136,1),"")</f>
        <v>L</v>
      </c>
      <c r="AA136" s="3">
        <v>145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A</v>
      </c>
      <c r="AM136" s="3">
        <v>226</v>
      </c>
      <c r="AN136" s="3" t="str">
        <f>IFERROR(MID(VLOOKUP($B136,Seqs!$A:$B,2,0),AO136,1),"")</f>
        <v>H</v>
      </c>
      <c r="AO136" s="3">
        <v>269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560"/>
        <v>1</v>
      </c>
      <c r="BC136" s="23">
        <f t="shared" si="981"/>
        <v>250</v>
      </c>
      <c r="BD136" s="16" t="s">
        <v>23</v>
      </c>
      <c r="BE136" s="3" t="s">
        <v>1287</v>
      </c>
      <c r="BF136" s="118">
        <v>3.5</v>
      </c>
      <c r="BG136" s="49" t="s">
        <v>1373</v>
      </c>
      <c r="BH136" s="49" t="s">
        <v>1373</v>
      </c>
      <c r="BI136" s="1"/>
      <c r="BJ136" s="70" t="s">
        <v>1283</v>
      </c>
      <c r="BK136" s="57" t="s">
        <v>1283</v>
      </c>
      <c r="BL136" s="57" t="s">
        <v>1283</v>
      </c>
      <c r="BM136" s="57" t="s">
        <v>1283</v>
      </c>
      <c r="BN136" s="57" t="s">
        <v>1283</v>
      </c>
      <c r="BO136" s="57" t="s">
        <v>1283</v>
      </c>
      <c r="BP136" s="57" t="s">
        <v>1283</v>
      </c>
      <c r="BQ136" s="57" t="s">
        <v>1283</v>
      </c>
      <c r="BR136" s="57" t="s">
        <v>1283</v>
      </c>
      <c r="BS136" s="57" t="s">
        <v>1283</v>
      </c>
      <c r="BT136" s="57" t="s">
        <v>1283</v>
      </c>
      <c r="BU136" s="57" t="s">
        <v>1283</v>
      </c>
      <c r="BV136" s="70">
        <f t="shared" si="982"/>
        <v>26</v>
      </c>
      <c r="BW136" s="71">
        <f t="shared" si="983"/>
        <v>62</v>
      </c>
      <c r="BX136" s="72">
        <f t="shared" si="984"/>
        <v>66</v>
      </c>
      <c r="BY136" s="71">
        <f t="shared" si="985"/>
        <v>98</v>
      </c>
      <c r="BZ136" s="72">
        <f t="shared" si="986"/>
        <v>102</v>
      </c>
      <c r="CA136" s="71">
        <f t="shared" si="987"/>
        <v>138</v>
      </c>
      <c r="CB136" s="72">
        <f t="shared" si="988"/>
        <v>146</v>
      </c>
      <c r="CC136" s="71">
        <f t="shared" si="989"/>
        <v>191</v>
      </c>
      <c r="CD136" s="72">
        <f t="shared" si="990"/>
        <v>196</v>
      </c>
      <c r="CE136" s="71">
        <f t="shared" si="991"/>
        <v>269</v>
      </c>
      <c r="CF136" s="72">
        <f t="shared" si="992"/>
        <v>304</v>
      </c>
      <c r="CG136" s="71">
        <f t="shared" si="993"/>
        <v>329</v>
      </c>
      <c r="CH136" s="70">
        <f t="shared" si="994"/>
        <v>61</v>
      </c>
      <c r="CI136" s="71">
        <f t="shared" si="995"/>
        <v>65</v>
      </c>
      <c r="CJ136" s="72">
        <f t="shared" si="996"/>
        <v>97</v>
      </c>
      <c r="CK136" s="72">
        <f t="shared" si="997"/>
        <v>101</v>
      </c>
      <c r="CL136" s="72">
        <f t="shared" si="998"/>
        <v>137</v>
      </c>
      <c r="CM136" s="72">
        <f t="shared" si="999"/>
        <v>145</v>
      </c>
      <c r="CN136" s="72">
        <f t="shared" si="1000"/>
        <v>172</v>
      </c>
      <c r="CO136" s="72">
        <f t="shared" si="1001"/>
        <v>193</v>
      </c>
      <c r="CP136" s="72">
        <f t="shared" si="1002"/>
        <v>226</v>
      </c>
      <c r="CQ136" s="72">
        <f t="shared" si="1003"/>
        <v>299</v>
      </c>
      <c r="CR136" s="72">
        <f t="shared" si="1004"/>
        <v>328</v>
      </c>
      <c r="CS136" s="72">
        <f t="shared" si="1005"/>
        <v>341</v>
      </c>
      <c r="CT136" s="23">
        <f t="shared" si="100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559"/>
        <v>adrb2_human_3PDS</v>
      </c>
      <c r="B137" s="3" t="s">
        <v>126</v>
      </c>
      <c r="C137" s="3" t="s">
        <v>1331</v>
      </c>
      <c r="D137" s="3" t="str">
        <f>IFERROR(MID(VLOOKUP($B137,Seqs!$A:$B,2,0),E137,1),"")</f>
        <v>D</v>
      </c>
      <c r="E137" s="3">
        <v>29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Q</v>
      </c>
      <c r="AM137" s="3">
        <v>229</v>
      </c>
      <c r="AN137" s="3" t="str">
        <f>IFERROR(MID(VLOOKUP($B137,Seqs!$A:$B,2,0),AO137,1),"")</f>
        <v>L</v>
      </c>
      <c r="AO137" s="3">
        <v>266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560"/>
        <v>1</v>
      </c>
      <c r="BC137" s="23">
        <f t="shared" si="981"/>
        <v>245</v>
      </c>
      <c r="BD137" s="5" t="s">
        <v>23</v>
      </c>
      <c r="BE137" s="3" t="s">
        <v>1370</v>
      </c>
      <c r="BF137" s="118">
        <v>3.5</v>
      </c>
      <c r="BG137" s="49" t="s">
        <v>1373</v>
      </c>
      <c r="BH137" s="49" t="s">
        <v>1373</v>
      </c>
      <c r="BI137" s="1"/>
      <c r="BJ137" s="70" t="s">
        <v>1283</v>
      </c>
      <c r="BK137" s="57" t="s">
        <v>1283</v>
      </c>
      <c r="BL137" s="57" t="s">
        <v>1283</v>
      </c>
      <c r="BM137" s="57" t="s">
        <v>1283</v>
      </c>
      <c r="BN137" s="57" t="s">
        <v>1283</v>
      </c>
      <c r="BO137" s="57" t="s">
        <v>1283</v>
      </c>
      <c r="BP137" s="57" t="s">
        <v>1283</v>
      </c>
      <c r="BQ137" s="57" t="s">
        <v>1283</v>
      </c>
      <c r="BR137" s="57" t="s">
        <v>1283</v>
      </c>
      <c r="BS137" s="57" t="s">
        <v>1283</v>
      </c>
      <c r="BT137" s="57" t="s">
        <v>1283</v>
      </c>
      <c r="BU137" s="57" t="s">
        <v>1283</v>
      </c>
      <c r="BV137" s="70">
        <f t="shared" si="982"/>
        <v>29</v>
      </c>
      <c r="BW137" s="71">
        <f t="shared" si="983"/>
        <v>62</v>
      </c>
      <c r="BX137" s="72">
        <f t="shared" si="984"/>
        <v>66</v>
      </c>
      <c r="BY137" s="71">
        <f t="shared" si="985"/>
        <v>98</v>
      </c>
      <c r="BZ137" s="72">
        <f t="shared" si="986"/>
        <v>102</v>
      </c>
      <c r="CA137" s="71" t="str">
        <f t="shared" si="987"/>
        <v>-</v>
      </c>
      <c r="CB137" s="72">
        <f t="shared" si="988"/>
        <v>146</v>
      </c>
      <c r="CC137" s="71">
        <f t="shared" si="989"/>
        <v>191</v>
      </c>
      <c r="CD137" s="72">
        <f t="shared" si="990"/>
        <v>196</v>
      </c>
      <c r="CE137" s="71">
        <f t="shared" si="991"/>
        <v>266</v>
      </c>
      <c r="CF137" s="72">
        <f t="shared" si="992"/>
        <v>304</v>
      </c>
      <c r="CG137" s="71">
        <f t="shared" si="993"/>
        <v>329</v>
      </c>
      <c r="CH137" s="70">
        <f t="shared" si="994"/>
        <v>61</v>
      </c>
      <c r="CI137" s="71">
        <f t="shared" si="995"/>
        <v>65</v>
      </c>
      <c r="CJ137" s="72">
        <f t="shared" si="996"/>
        <v>96</v>
      </c>
      <c r="CK137" s="72">
        <f t="shared" si="997"/>
        <v>101</v>
      </c>
      <c r="CL137" s="72">
        <f t="shared" si="998"/>
        <v>137</v>
      </c>
      <c r="CM137" s="72" t="str">
        <f t="shared" si="999"/>
        <v>-</v>
      </c>
      <c r="CN137" s="72">
        <f t="shared" si="1000"/>
        <v>172</v>
      </c>
      <c r="CO137" s="72">
        <f t="shared" si="1001"/>
        <v>193</v>
      </c>
      <c r="CP137" s="72">
        <f t="shared" si="1002"/>
        <v>229</v>
      </c>
      <c r="CQ137" s="72">
        <f t="shared" si="1003"/>
        <v>299</v>
      </c>
      <c r="CR137" s="72">
        <f t="shared" si="1004"/>
        <v>328</v>
      </c>
      <c r="CS137" s="72">
        <f t="shared" si="1005"/>
        <v>341</v>
      </c>
      <c r="CT137" s="23">
        <f t="shared" si="100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ht="17" customHeight="1" x14ac:dyDescent="0.2">
      <c r="A138" s="3" t="str">
        <f t="shared" si="559"/>
        <v>adrb2_human_3SN6</v>
      </c>
      <c r="B138" s="3" t="s">
        <v>126</v>
      </c>
      <c r="C138" s="3" t="s">
        <v>85</v>
      </c>
      <c r="D138" s="3" t="str">
        <f>IFERROR(MID(VLOOKUP($B138,Seqs!$A:$B,2,0),E138,1),"")</f>
        <v>D</v>
      </c>
      <c r="E138" s="3">
        <v>29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M</v>
      </c>
      <c r="O138" s="3">
        <v>96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S</v>
      </c>
      <c r="W138" s="3">
        <v>137</v>
      </c>
      <c r="X138" s="3" t="str">
        <f>IFERROR(MID(VLOOKUP($B138,Seqs!$A:$B,2,0),Y138,1),"")</f>
        <v>P</v>
      </c>
      <c r="Y138" s="3">
        <v>138</v>
      </c>
      <c r="Z138" s="3" t="str">
        <f>IFERROR(MID(VLOOKUP($B138,Seqs!$A:$B,2,0),AA138,1),"")</f>
        <v>L</v>
      </c>
      <c r="AA138" s="3">
        <v>145</v>
      </c>
      <c r="AB138" s="3" t="str">
        <f>IFERROR(MID(VLOOKUP($B138,Seqs!$A:$B,2,0),AC138,1),"")</f>
        <v>T</v>
      </c>
      <c r="AC138" s="9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E</v>
      </c>
      <c r="AM138" s="3">
        <v>237</v>
      </c>
      <c r="AN138" s="3" t="str">
        <f>IFERROR(MID(VLOOKUP($B138,Seqs!$A:$B,2,0),AO138,1),"")</f>
        <v>C</v>
      </c>
      <c r="AO138" s="3">
        <v>265</v>
      </c>
      <c r="AP138" s="3" t="str">
        <f>IFERROR(MID(VLOOKUP($B138,Seqs!$A:$B,2,0),AQ138,1),"")</f>
        <v>Q</v>
      </c>
      <c r="AQ138" s="3">
        <v>299</v>
      </c>
      <c r="AR138" s="3" t="str">
        <f>IFERROR(MID(VLOOKUP($B138,Seqs!$A:$B,2,0),AS138,1),"")</f>
        <v>R</v>
      </c>
      <c r="AS138" s="3">
        <v>304</v>
      </c>
      <c r="AT138" s="3" t="str">
        <f>IFERROR(MID(VLOOKUP($B138,Seqs!$A:$B,2,0),AU138,1),"")</f>
        <v>R</v>
      </c>
      <c r="AU138" s="3">
        <v>328</v>
      </c>
      <c r="AV138" s="3" t="str">
        <f>IFERROR(MID(VLOOKUP($B138,Seqs!$A:$B,2,0),AW138,1),"")</f>
        <v>S</v>
      </c>
      <c r="AW138" s="3">
        <v>329</v>
      </c>
      <c r="AX138" s="3" t="str">
        <f>IFERROR(MID(VLOOKUP($B138,Seqs!$A:$B,2,0),AY138,1),"")</f>
        <v>C</v>
      </c>
      <c r="AY138" s="3">
        <v>341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si="560"/>
        <v>1</v>
      </c>
      <c r="BC138" s="23">
        <f t="shared" si="981"/>
        <v>261</v>
      </c>
      <c r="BD138" s="4" t="s">
        <v>1371</v>
      </c>
      <c r="BE138" s="3" t="s">
        <v>1287</v>
      </c>
      <c r="BF138" s="118">
        <v>3.2</v>
      </c>
      <c r="BG138" s="49" t="s">
        <v>1373</v>
      </c>
      <c r="BH138" s="49" t="s">
        <v>1373</v>
      </c>
      <c r="BI138" s="1"/>
      <c r="BJ138" s="70" t="s">
        <v>1283</v>
      </c>
      <c r="BK138" s="57" t="s">
        <v>1283</v>
      </c>
      <c r="BL138" s="57" t="s">
        <v>1283</v>
      </c>
      <c r="BM138" s="57" t="s">
        <v>1283</v>
      </c>
      <c r="BN138" s="57" t="s">
        <v>1283</v>
      </c>
      <c r="BO138" s="57" t="s">
        <v>1283</v>
      </c>
      <c r="BP138" s="57" t="s">
        <v>1283</v>
      </c>
      <c r="BQ138" s="57" t="s">
        <v>1283</v>
      </c>
      <c r="BR138" s="57" t="s">
        <v>1283</v>
      </c>
      <c r="BS138" s="57" t="s">
        <v>1283</v>
      </c>
      <c r="BT138" s="57" t="s">
        <v>1283</v>
      </c>
      <c r="BU138" s="57" t="s">
        <v>1283</v>
      </c>
      <c r="BV138" s="70">
        <f t="shared" si="982"/>
        <v>29</v>
      </c>
      <c r="BW138" s="71">
        <f t="shared" si="983"/>
        <v>62</v>
      </c>
      <c r="BX138" s="72">
        <f t="shared" si="984"/>
        <v>66</v>
      </c>
      <c r="BY138" s="71">
        <f t="shared" si="985"/>
        <v>98</v>
      </c>
      <c r="BZ138" s="72">
        <f t="shared" si="986"/>
        <v>102</v>
      </c>
      <c r="CA138" s="71">
        <f t="shared" si="987"/>
        <v>138</v>
      </c>
      <c r="CB138" s="72">
        <f t="shared" si="988"/>
        <v>146</v>
      </c>
      <c r="CC138" s="71">
        <f t="shared" si="989"/>
        <v>191</v>
      </c>
      <c r="CD138" s="72">
        <f t="shared" si="990"/>
        <v>196</v>
      </c>
      <c r="CE138" s="71">
        <f t="shared" si="991"/>
        <v>265</v>
      </c>
      <c r="CF138" s="72">
        <f t="shared" si="992"/>
        <v>304</v>
      </c>
      <c r="CG138" s="71">
        <f t="shared" si="993"/>
        <v>329</v>
      </c>
      <c r="CH138" s="70">
        <f t="shared" si="994"/>
        <v>61</v>
      </c>
      <c r="CI138" s="71">
        <f t="shared" si="995"/>
        <v>65</v>
      </c>
      <c r="CJ138" s="72">
        <f t="shared" si="996"/>
        <v>96</v>
      </c>
      <c r="CK138" s="72">
        <f t="shared" si="997"/>
        <v>101</v>
      </c>
      <c r="CL138" s="72">
        <f t="shared" si="998"/>
        <v>137</v>
      </c>
      <c r="CM138" s="72">
        <f t="shared" si="999"/>
        <v>145</v>
      </c>
      <c r="CN138" s="72">
        <f t="shared" si="1000"/>
        <v>172</v>
      </c>
      <c r="CO138" s="72">
        <f t="shared" si="1001"/>
        <v>193</v>
      </c>
      <c r="CP138" s="72">
        <f t="shared" si="1002"/>
        <v>237</v>
      </c>
      <c r="CQ138" s="72">
        <f t="shared" si="1003"/>
        <v>299</v>
      </c>
      <c r="CR138" s="72">
        <f t="shared" si="1004"/>
        <v>328</v>
      </c>
      <c r="CS138" s="72">
        <f t="shared" si="1005"/>
        <v>341</v>
      </c>
      <c r="CT138" s="23">
        <f t="shared" si="100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ht="17" customHeight="1" x14ac:dyDescent="0.2">
      <c r="A139" s="3" t="str">
        <f t="shared" ref="A139" si="1203">CONCATENATE(B139,"_",C139)</f>
        <v>adrb2_human_4GBR</v>
      </c>
      <c r="B139" s="3" t="s">
        <v>126</v>
      </c>
      <c r="C139" s="3" t="s">
        <v>1102</v>
      </c>
      <c r="D139" s="3" t="str">
        <f>IFERROR(MID(VLOOKUP($B139,Seqs!$A:$B,2,0),E139,1),"")</f>
        <v>D</v>
      </c>
      <c r="E139" s="3">
        <v>29</v>
      </c>
      <c r="F139" s="3" t="str">
        <f>IFERROR(MID(VLOOKUP($B139,Seqs!$A:$B,2,0),G139,1),"")</f>
        <v>F</v>
      </c>
      <c r="G139" s="3">
        <v>61</v>
      </c>
      <c r="H139" s="3" t="str">
        <f>IFERROR(MID(VLOOKUP($B139,Seqs!$A:$B,2,0),I139,1),"")</f>
        <v>E</v>
      </c>
      <c r="I139" s="23">
        <v>62</v>
      </c>
      <c r="J139" s="3" t="str">
        <f>IFERROR(MID(VLOOKUP($B139,Seqs!$A:$B,2,0),K139,1),"")</f>
        <v>Q</v>
      </c>
      <c r="K139" s="23">
        <v>65</v>
      </c>
      <c r="L139" s="3" t="str">
        <f>IFERROR(MID(VLOOKUP($B139,Seqs!$A:$B,2,0),M139,1),"")</f>
        <v>T</v>
      </c>
      <c r="M139" s="3">
        <v>66</v>
      </c>
      <c r="N139" s="3" t="str">
        <f>IFERROR(MID(VLOOKUP($B139,Seqs!$A:$B,2,0),O139,1),"")</f>
        <v>M</v>
      </c>
      <c r="O139" s="3">
        <v>96</v>
      </c>
      <c r="P139" s="3" t="str">
        <f>IFERROR(MID(VLOOKUP($B139,Seqs!$A:$B,2,0),Q139,1),"")</f>
        <v>M</v>
      </c>
      <c r="Q139" s="3">
        <v>98</v>
      </c>
      <c r="R139" s="3" t="str">
        <f>IFERROR(MID(VLOOKUP($B139,Seqs!$A:$B,2,0),S139,1),"")</f>
        <v>F</v>
      </c>
      <c r="S139" s="3">
        <v>101</v>
      </c>
      <c r="T139" s="3" t="str">
        <f>IFERROR(MID(VLOOKUP($B139,Seqs!$A:$B,2,0),U139,1),"")</f>
        <v>G</v>
      </c>
      <c r="U139" s="3">
        <v>102</v>
      </c>
      <c r="V139" s="3" t="str">
        <f>IFERROR(MID(VLOOKUP($B139,Seqs!$A:$B,2,0),W139,1),"")</f>
        <v>T</v>
      </c>
      <c r="W139" s="3">
        <v>136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T</v>
      </c>
      <c r="AC139" s="3">
        <v>146</v>
      </c>
      <c r="AD139" s="3" t="str">
        <f>IFERROR(MID(VLOOKUP($B139,Seqs!$A:$B,2,0),AE139,1),"")</f>
        <v>H</v>
      </c>
      <c r="AE139" s="3">
        <v>172</v>
      </c>
      <c r="AF139" s="3" t="str">
        <f>IFERROR(MID(VLOOKUP($B139,Seqs!$A:$B,2,0),AG139,1),"")</f>
        <v>C</v>
      </c>
      <c r="AG139" s="3">
        <v>191</v>
      </c>
      <c r="AH139" s="3" t="str">
        <f>IFERROR(MID(VLOOKUP($B139,Seqs!$A:$B,2,0),AI139,1),"")</f>
        <v>F</v>
      </c>
      <c r="AI139" s="3">
        <v>193</v>
      </c>
      <c r="AJ139" s="3" t="str">
        <f>IFERROR(MID(VLOOKUP($B139,Seqs!$A:$B,2,0),AK139,1),"")</f>
        <v>N</v>
      </c>
      <c r="AK139" s="3">
        <v>196</v>
      </c>
      <c r="AL139" s="3" t="str">
        <f>IFERROR(MID(VLOOKUP($B139,Seqs!$A:$B,2,0),AM139,1),"")</f>
        <v>K</v>
      </c>
      <c r="AM139" s="3">
        <v>232</v>
      </c>
      <c r="AN139" s="3" t="str">
        <f>IFERROR(MID(VLOOKUP($B139,Seqs!$A:$B,2,0),AO139,1),"")</f>
        <v>E</v>
      </c>
      <c r="AO139" s="3">
        <v>237</v>
      </c>
      <c r="AP139" s="3" t="str">
        <f>IFERROR(MID(VLOOKUP($B139,Seqs!$A:$B,2,0),AQ139,1),"")</f>
        <v>A</v>
      </c>
      <c r="AQ139" s="3">
        <v>271</v>
      </c>
      <c r="AR139" s="3" t="str">
        <f>IFERROR(MID(VLOOKUP($B139,Seqs!$A:$B,2,0),AS139,1),"")</f>
        <v>G</v>
      </c>
      <c r="AS139" s="3">
        <v>276</v>
      </c>
      <c r="AT139" s="3" t="str">
        <f>IFERROR(MID(VLOOKUP($B139,Seqs!$A:$B,2,0),AU139,1),"")</f>
        <v>D</v>
      </c>
      <c r="AU139" s="3">
        <v>300</v>
      </c>
      <c r="AV139" s="3" t="str">
        <f>IFERROR(MID(VLOOKUP($B139,Seqs!$A:$B,2,0),AW139,1),"")</f>
        <v>N</v>
      </c>
      <c r="AW139" s="3">
        <v>301</v>
      </c>
      <c r="AX139" s="3" t="str">
        <f>IFERROR(MID(VLOOKUP($B139,Seqs!$A:$B,2,0),AY139,1),"")</f>
        <v>W</v>
      </c>
      <c r="AY139" s="3">
        <v>313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ref="BB139" si="1204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205">_xlfn.AGGREGATE(9,6,CH139:CS139)-_xlfn.AGGREGATE(9,6,BV139:CG139)+12</f>
        <v>248</v>
      </c>
      <c r="BD139" s="4" t="s">
        <v>23</v>
      </c>
      <c r="BE139" s="3" t="s">
        <v>1370</v>
      </c>
      <c r="BF139" s="118">
        <v>3.99</v>
      </c>
      <c r="BG139" s="49" t="s">
        <v>1</v>
      </c>
      <c r="BH139" s="49" t="s">
        <v>1</v>
      </c>
      <c r="BI139" s="1"/>
      <c r="BJ139" s="70" t="s">
        <v>1283</v>
      </c>
      <c r="BK139" s="57" t="s">
        <v>1283</v>
      </c>
      <c r="BL139" s="57" t="s">
        <v>1283</v>
      </c>
      <c r="BM139" s="57" t="s">
        <v>1283</v>
      </c>
      <c r="BN139" s="57" t="s">
        <v>1283</v>
      </c>
      <c r="BO139" s="57" t="s">
        <v>1283</v>
      </c>
      <c r="BP139" s="57" t="s">
        <v>1283</v>
      </c>
      <c r="BQ139" s="57" t="s">
        <v>1283</v>
      </c>
      <c r="BR139" s="57" t="s">
        <v>1283</v>
      </c>
      <c r="BS139" s="57" t="s">
        <v>1283</v>
      </c>
      <c r="BT139" s="57" t="s">
        <v>1283</v>
      </c>
      <c r="BU139" s="57" t="s">
        <v>1283</v>
      </c>
      <c r="BV139" s="70">
        <f t="shared" ref="BV139" si="1206">E139</f>
        <v>29</v>
      </c>
      <c r="BW139" s="71">
        <f t="shared" ref="BW139" si="1207">I139</f>
        <v>62</v>
      </c>
      <c r="BX139" s="72">
        <f t="shared" ref="BX139" si="1208">M139</f>
        <v>66</v>
      </c>
      <c r="BY139" s="71">
        <f t="shared" ref="BY139" si="1209">Q139</f>
        <v>98</v>
      </c>
      <c r="BZ139" s="72">
        <f t="shared" ref="BZ139" si="1210">U139</f>
        <v>102</v>
      </c>
      <c r="CA139" s="71" t="str">
        <f t="shared" ref="CA139" si="1211">Y139</f>
        <v>-</v>
      </c>
      <c r="CB139" s="72">
        <f t="shared" ref="CB139" si="1212">AC139</f>
        <v>146</v>
      </c>
      <c r="CC139" s="71">
        <f t="shared" ref="CC139" si="1213">AG139</f>
        <v>191</v>
      </c>
      <c r="CD139" s="72">
        <f t="shared" ref="CD139" si="1214">AK139</f>
        <v>196</v>
      </c>
      <c r="CE139" s="71">
        <f t="shared" ref="CE139" si="1215">AO139</f>
        <v>237</v>
      </c>
      <c r="CF139" s="72">
        <f t="shared" ref="CF139" si="1216">AS139</f>
        <v>276</v>
      </c>
      <c r="CG139" s="71">
        <f t="shared" ref="CG139" si="1217">AW139</f>
        <v>301</v>
      </c>
      <c r="CH139" s="70">
        <f t="shared" ref="CH139" si="1218">G139</f>
        <v>61</v>
      </c>
      <c r="CI139" s="71">
        <f t="shared" ref="CI139" si="1219">K139</f>
        <v>65</v>
      </c>
      <c r="CJ139" s="72">
        <f t="shared" ref="CJ139" si="1220">O139</f>
        <v>96</v>
      </c>
      <c r="CK139" s="72">
        <f t="shared" ref="CK139" si="1221">S139</f>
        <v>101</v>
      </c>
      <c r="CL139" s="72">
        <f t="shared" ref="CL139" si="1222">W139</f>
        <v>136</v>
      </c>
      <c r="CM139" s="72" t="str">
        <f t="shared" ref="CM139" si="1223">AA139</f>
        <v>-</v>
      </c>
      <c r="CN139" s="72">
        <f t="shared" ref="CN139" si="1224">AE139</f>
        <v>172</v>
      </c>
      <c r="CO139" s="72">
        <f t="shared" ref="CO139" si="1225">AI139</f>
        <v>193</v>
      </c>
      <c r="CP139" s="72">
        <f t="shared" ref="CP139" si="1226">AM139</f>
        <v>232</v>
      </c>
      <c r="CQ139" s="72">
        <f t="shared" ref="CQ139" si="1227">AQ139</f>
        <v>271</v>
      </c>
      <c r="CR139" s="72">
        <f t="shared" ref="CR139" si="1228">AU139</f>
        <v>300</v>
      </c>
      <c r="CS139" s="72">
        <f t="shared" ref="CS139" si="1229">AY139</f>
        <v>313</v>
      </c>
      <c r="CT139" s="23">
        <f t="shared" ref="CT139" si="1230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ref="A140:A262" si="1231">CONCATENATE(B140,"_",C140)</f>
        <v>adrb2_human_4LDE</v>
      </c>
      <c r="B140" s="3" t="s">
        <v>126</v>
      </c>
      <c r="C140" s="3" t="s">
        <v>77</v>
      </c>
      <c r="D140" s="3" t="str">
        <f>IFERROR(MID(VLOOKUP($B140,Seqs!$A:$B,2,0),E140,1),"")</f>
        <v/>
      </c>
      <c r="E140" s="3">
        <v>1029</v>
      </c>
      <c r="F140" s="3" t="str">
        <f>IFERROR(MID(VLOOKUP($B140,Seqs!$A:$B,2,0),G140,1),"")</f>
        <v/>
      </c>
      <c r="G140" s="3">
        <v>1061</v>
      </c>
      <c r="H140" s="3" t="str">
        <f>IFERROR(MID(VLOOKUP($B140,Seqs!$A:$B,2,0),I140,1),"")</f>
        <v/>
      </c>
      <c r="I140" s="23">
        <v>1062</v>
      </c>
      <c r="J140" s="3" t="str">
        <f>IFERROR(MID(VLOOKUP($B140,Seqs!$A:$B,2,0),K140,1),"")</f>
        <v/>
      </c>
      <c r="K140" s="23">
        <v>1065</v>
      </c>
      <c r="L140" s="3" t="str">
        <f>IFERROR(MID(VLOOKUP($B140,Seqs!$A:$B,2,0),M140,1),"")</f>
        <v/>
      </c>
      <c r="M140" s="3">
        <v>1066</v>
      </c>
      <c r="N140" s="3" t="str">
        <f>IFERROR(MID(VLOOKUP($B140,Seqs!$A:$B,2,0),O140,1),"")</f>
        <v/>
      </c>
      <c r="O140" s="3">
        <v>1097</v>
      </c>
      <c r="P140" s="3" t="str">
        <f>IFERROR(MID(VLOOKUP($B140,Seqs!$A:$B,2,0),Q140,1),"")</f>
        <v/>
      </c>
      <c r="Q140" s="3">
        <v>1098</v>
      </c>
      <c r="R140" s="3" t="str">
        <f>IFERROR(MID(VLOOKUP($B140,Seqs!$A:$B,2,0),S140,1),"")</f>
        <v/>
      </c>
      <c r="S140" s="3">
        <v>1101</v>
      </c>
      <c r="T140" s="3" t="str">
        <f>IFERROR(MID(VLOOKUP($B140,Seqs!$A:$B,2,0),U140,1),"")</f>
        <v/>
      </c>
      <c r="U140" s="3">
        <v>1102</v>
      </c>
      <c r="V140" s="3" t="str">
        <f>IFERROR(MID(VLOOKUP($B140,Seqs!$A:$B,2,0),W140,1),"")</f>
        <v/>
      </c>
      <c r="W140" s="3">
        <v>1137</v>
      </c>
      <c r="X140" s="3" t="str">
        <f>IFERROR(MID(VLOOKUP($B140,Seqs!$A:$B,2,0),Y140,1),"")</f>
        <v/>
      </c>
      <c r="Y140" s="3">
        <v>1138</v>
      </c>
      <c r="Z140" s="3" t="str">
        <f>IFERROR(MID(VLOOKUP($B140,Seqs!$A:$B,2,0),AA140,1),"")</f>
        <v/>
      </c>
      <c r="AA140" s="3">
        <v>1145</v>
      </c>
      <c r="AB140" s="3" t="str">
        <f>IFERROR(MID(VLOOKUP($B140,Seqs!$A:$B,2,0),AC140,1),"")</f>
        <v/>
      </c>
      <c r="AC140" s="9">
        <v>1146</v>
      </c>
      <c r="AD140" s="3" t="str">
        <f>IFERROR(MID(VLOOKUP($B140,Seqs!$A:$B,2,0),AE140,1),"")</f>
        <v/>
      </c>
      <c r="AE140" s="3">
        <v>1172</v>
      </c>
      <c r="AF140" s="3" t="str">
        <f>IFERROR(MID(VLOOKUP($B140,Seqs!$A:$B,2,0),AG140,1),"")</f>
        <v/>
      </c>
      <c r="AG140" s="3">
        <v>1191</v>
      </c>
      <c r="AH140" s="3" t="str">
        <f>IFERROR(MID(VLOOKUP($B140,Seqs!$A:$B,2,0),AI140,1),"")</f>
        <v/>
      </c>
      <c r="AI140" s="3">
        <v>1193</v>
      </c>
      <c r="AJ140" s="3" t="str">
        <f>IFERROR(MID(VLOOKUP($B140,Seqs!$A:$B,2,0),AK140,1),"")</f>
        <v/>
      </c>
      <c r="AK140" s="3">
        <v>1196</v>
      </c>
      <c r="AL140" s="3" t="str">
        <f>IFERROR(MID(VLOOKUP($B140,Seqs!$A:$B,2,0),AM140,1),"")</f>
        <v/>
      </c>
      <c r="AM140" s="3">
        <v>1225</v>
      </c>
      <c r="AN140" s="3" t="str">
        <f>IFERROR(MID(VLOOKUP($B140,Seqs!$A:$B,2,0),AO140,1),"")</f>
        <v/>
      </c>
      <c r="AO140" s="3">
        <v>1266</v>
      </c>
      <c r="AP140" s="3" t="str">
        <f>IFERROR(MID(VLOOKUP($B140,Seqs!$A:$B,2,0),AQ140,1),"")</f>
        <v/>
      </c>
      <c r="AQ140" s="3">
        <v>1299</v>
      </c>
      <c r="AR140" s="3" t="str">
        <f>IFERROR(MID(VLOOKUP($B140,Seqs!$A:$B,2,0),AS140,1),"")</f>
        <v/>
      </c>
      <c r="AS140" s="3">
        <v>1304</v>
      </c>
      <c r="AT140" s="3" t="str">
        <f>IFERROR(MID(VLOOKUP($B140,Seqs!$A:$B,2,0),AU140,1),"")</f>
        <v/>
      </c>
      <c r="AU140" s="3">
        <v>1328</v>
      </c>
      <c r="AV140" s="3" t="str">
        <f>IFERROR(MID(VLOOKUP($B140,Seqs!$A:$B,2,0),AW140,1),"")</f>
        <v/>
      </c>
      <c r="AW140" s="3">
        <v>1329</v>
      </c>
      <c r="AX140" s="3" t="str">
        <f>IFERROR(MID(VLOOKUP($B140,Seqs!$A:$B,2,0),AY140,1),"")</f>
        <v/>
      </c>
      <c r="AY140" s="3">
        <v>1341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ref="BB140:BB262" si="1232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si="981"/>
        <v>249</v>
      </c>
      <c r="BD140" s="4" t="s">
        <v>23</v>
      </c>
      <c r="BE140" s="3" t="s">
        <v>1287</v>
      </c>
      <c r="BF140" s="118">
        <v>2.79</v>
      </c>
      <c r="BG140" s="49" t="s">
        <v>1373</v>
      </c>
      <c r="BH140" s="49" t="s">
        <v>1373</v>
      </c>
      <c r="BI140" s="1"/>
      <c r="BJ140" s="70" t="s">
        <v>1283</v>
      </c>
      <c r="BK140" s="57" t="s">
        <v>1283</v>
      </c>
      <c r="BL140" s="57" t="s">
        <v>1283</v>
      </c>
      <c r="BM140" s="57" t="s">
        <v>1283</v>
      </c>
      <c r="BN140" s="57" t="s">
        <v>1283</v>
      </c>
      <c r="BO140" s="57" t="s">
        <v>1283</v>
      </c>
      <c r="BP140" s="57" t="s">
        <v>1283</v>
      </c>
      <c r="BQ140" s="57" t="s">
        <v>1283</v>
      </c>
      <c r="BR140" s="57" t="s">
        <v>1283</v>
      </c>
      <c r="BS140" s="57" t="s">
        <v>1283</v>
      </c>
      <c r="BT140" s="57" t="s">
        <v>1283</v>
      </c>
      <c r="BU140" s="57" t="s">
        <v>1283</v>
      </c>
      <c r="BV140" s="70">
        <f t="shared" si="982"/>
        <v>1029</v>
      </c>
      <c r="BW140" s="71">
        <f t="shared" si="983"/>
        <v>1062</v>
      </c>
      <c r="BX140" s="72">
        <f t="shared" si="984"/>
        <v>1066</v>
      </c>
      <c r="BY140" s="71">
        <f t="shared" si="985"/>
        <v>1098</v>
      </c>
      <c r="BZ140" s="72">
        <f t="shared" si="986"/>
        <v>1102</v>
      </c>
      <c r="CA140" s="71">
        <f t="shared" si="987"/>
        <v>1138</v>
      </c>
      <c r="CB140" s="72">
        <f t="shared" si="988"/>
        <v>1146</v>
      </c>
      <c r="CC140" s="71">
        <f t="shared" si="989"/>
        <v>1191</v>
      </c>
      <c r="CD140" s="72">
        <f t="shared" si="990"/>
        <v>1196</v>
      </c>
      <c r="CE140" s="71">
        <f t="shared" si="991"/>
        <v>1266</v>
      </c>
      <c r="CF140" s="72">
        <f t="shared" si="992"/>
        <v>1304</v>
      </c>
      <c r="CG140" s="71">
        <f t="shared" si="993"/>
        <v>1329</v>
      </c>
      <c r="CH140" s="70">
        <f t="shared" si="994"/>
        <v>1061</v>
      </c>
      <c r="CI140" s="71">
        <f t="shared" si="995"/>
        <v>1065</v>
      </c>
      <c r="CJ140" s="72">
        <f t="shared" si="996"/>
        <v>1097</v>
      </c>
      <c r="CK140" s="72">
        <f t="shared" si="997"/>
        <v>1101</v>
      </c>
      <c r="CL140" s="72">
        <f t="shared" si="998"/>
        <v>1137</v>
      </c>
      <c r="CM140" s="72">
        <f t="shared" si="999"/>
        <v>1145</v>
      </c>
      <c r="CN140" s="72">
        <f t="shared" si="1000"/>
        <v>1172</v>
      </c>
      <c r="CO140" s="72">
        <f t="shared" si="1001"/>
        <v>1193</v>
      </c>
      <c r="CP140" s="72">
        <f t="shared" si="1002"/>
        <v>1225</v>
      </c>
      <c r="CQ140" s="72">
        <f t="shared" si="1003"/>
        <v>1299</v>
      </c>
      <c r="CR140" s="72">
        <f t="shared" si="1004"/>
        <v>1328</v>
      </c>
      <c r="CS140" s="72">
        <f t="shared" si="1005"/>
        <v>1341</v>
      </c>
      <c r="CT140" s="23">
        <f t="shared" si="100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1231"/>
        <v>adrb2_human_4LDL</v>
      </c>
      <c r="B141" s="3" t="s">
        <v>126</v>
      </c>
      <c r="C141" s="3" t="s">
        <v>1040</v>
      </c>
      <c r="D141" s="3" t="str">
        <f>IFERROR(MID(VLOOKUP($B141,Seqs!$A:$B,2,0),E141,1),"")</f>
        <v/>
      </c>
      <c r="E141" s="3">
        <v>1029</v>
      </c>
      <c r="F141" s="3" t="str">
        <f>IFERROR(MID(VLOOKUP($B141,Seqs!$A:$B,2,0),G141,1),"")</f>
        <v/>
      </c>
      <c r="G141" s="3">
        <v>1061</v>
      </c>
      <c r="H141" s="3" t="str">
        <f>IFERROR(MID(VLOOKUP($B141,Seqs!$A:$B,2,0),I141,1),"")</f>
        <v/>
      </c>
      <c r="I141" s="23">
        <v>1062</v>
      </c>
      <c r="J141" s="3" t="str">
        <f>IFERROR(MID(VLOOKUP($B141,Seqs!$A:$B,2,0),K141,1),"")</f>
        <v/>
      </c>
      <c r="K141" s="23">
        <v>1065</v>
      </c>
      <c r="L141" s="3" t="str">
        <f>IFERROR(MID(VLOOKUP($B141,Seqs!$A:$B,2,0),M141,1),"")</f>
        <v/>
      </c>
      <c r="M141" s="3">
        <v>1066</v>
      </c>
      <c r="N141" s="3" t="str">
        <f>IFERROR(MID(VLOOKUP($B141,Seqs!$A:$B,2,0),O141,1),"")</f>
        <v/>
      </c>
      <c r="O141" s="3">
        <v>1097</v>
      </c>
      <c r="P141" s="3" t="str">
        <f>IFERROR(MID(VLOOKUP($B141,Seqs!$A:$B,2,0),Q141,1),"")</f>
        <v/>
      </c>
      <c r="Q141" s="3">
        <v>1098</v>
      </c>
      <c r="R141" s="3" t="str">
        <f>IFERROR(MID(VLOOKUP($B141,Seqs!$A:$B,2,0),S141,1),"")</f>
        <v/>
      </c>
      <c r="S141" s="3">
        <v>1101</v>
      </c>
      <c r="T141" s="3" t="str">
        <f>IFERROR(MID(VLOOKUP($B141,Seqs!$A:$B,2,0),U141,1),"")</f>
        <v/>
      </c>
      <c r="U141" s="3">
        <v>1102</v>
      </c>
      <c r="V141" s="3" t="str">
        <f>IFERROR(MID(VLOOKUP($B141,Seqs!$A:$B,2,0),W141,1),"")</f>
        <v/>
      </c>
      <c r="W141" s="3">
        <v>1137</v>
      </c>
      <c r="X141" s="3" t="str">
        <f>IFERROR(MID(VLOOKUP($B141,Seqs!$A:$B,2,0),Y141,1),"")</f>
        <v/>
      </c>
      <c r="Y141" s="3">
        <v>1138</v>
      </c>
      <c r="Z141" s="3" t="str">
        <f>IFERROR(MID(VLOOKUP($B141,Seqs!$A:$B,2,0),AA141,1),"")</f>
        <v/>
      </c>
      <c r="AA141" s="3">
        <v>1145</v>
      </c>
      <c r="AB141" s="3" t="str">
        <f>IFERROR(MID(VLOOKUP($B141,Seqs!$A:$B,2,0),AC141,1),"")</f>
        <v/>
      </c>
      <c r="AC141" s="9">
        <v>1146</v>
      </c>
      <c r="AD141" s="3" t="str">
        <f>IFERROR(MID(VLOOKUP($B141,Seqs!$A:$B,2,0),AE141,1),"")</f>
        <v/>
      </c>
      <c r="AE141" s="3">
        <v>1172</v>
      </c>
      <c r="AF141" s="3" t="str">
        <f>IFERROR(MID(VLOOKUP($B141,Seqs!$A:$B,2,0),AG141,1),"")</f>
        <v/>
      </c>
      <c r="AG141" s="3">
        <v>1191</v>
      </c>
      <c r="AH141" s="3" t="str">
        <f>IFERROR(MID(VLOOKUP($B141,Seqs!$A:$B,2,0),AI141,1),"")</f>
        <v/>
      </c>
      <c r="AI141" s="3">
        <v>1193</v>
      </c>
      <c r="AJ141" s="3" t="str">
        <f>IFERROR(MID(VLOOKUP($B141,Seqs!$A:$B,2,0),AK141,1),"")</f>
        <v/>
      </c>
      <c r="AK141" s="3">
        <v>1196</v>
      </c>
      <c r="AL141" s="3" t="str">
        <f>IFERROR(MID(VLOOKUP($B141,Seqs!$A:$B,2,0),AM141,1),"")</f>
        <v/>
      </c>
      <c r="AM141" s="3">
        <v>1225</v>
      </c>
      <c r="AN141" s="3" t="str">
        <f>IFERROR(MID(VLOOKUP($B141,Seqs!$A:$B,2,0),AO141,1),"")</f>
        <v/>
      </c>
      <c r="AO141" s="3">
        <v>1266</v>
      </c>
      <c r="AP141" s="3" t="str">
        <f>IFERROR(MID(VLOOKUP($B141,Seqs!$A:$B,2,0),AQ141,1),"")</f>
        <v/>
      </c>
      <c r="AQ141" s="3">
        <v>1299</v>
      </c>
      <c r="AR141" s="3" t="str">
        <f>IFERROR(MID(VLOOKUP($B141,Seqs!$A:$B,2,0),AS141,1),"")</f>
        <v/>
      </c>
      <c r="AS141" s="3">
        <v>1304</v>
      </c>
      <c r="AT141" s="3" t="str">
        <f>IFERROR(MID(VLOOKUP($B141,Seqs!$A:$B,2,0),AU141,1),"")</f>
        <v/>
      </c>
      <c r="AU141" s="3">
        <v>1328</v>
      </c>
      <c r="AV141" s="3" t="str">
        <f>IFERROR(MID(VLOOKUP($B141,Seqs!$A:$B,2,0),AW141,1),"")</f>
        <v/>
      </c>
      <c r="AW141" s="3">
        <v>1329</v>
      </c>
      <c r="AX141" s="3" t="str">
        <f>IFERROR(MID(VLOOKUP($B141,Seqs!$A:$B,2,0),AY141,1),"")</f>
        <v/>
      </c>
      <c r="AY141" s="3">
        <v>1341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1232"/>
        <v>1</v>
      </c>
      <c r="BC141" s="23">
        <f t="shared" si="981"/>
        <v>249</v>
      </c>
      <c r="BD141" s="4" t="s">
        <v>23</v>
      </c>
      <c r="BE141" s="3" t="s">
        <v>1287</v>
      </c>
      <c r="BF141" s="118">
        <v>3.1</v>
      </c>
      <c r="BG141" s="49" t="s">
        <v>1373</v>
      </c>
      <c r="BH141" s="49" t="s">
        <v>1373</v>
      </c>
      <c r="BI141" s="1"/>
      <c r="BJ141" s="70" t="s">
        <v>1283</v>
      </c>
      <c r="BK141" s="57" t="s">
        <v>1283</v>
      </c>
      <c r="BL141" s="57" t="s">
        <v>1283</v>
      </c>
      <c r="BM141" s="57" t="s">
        <v>1283</v>
      </c>
      <c r="BN141" s="57" t="s">
        <v>1283</v>
      </c>
      <c r="BO141" s="57" t="s">
        <v>1283</v>
      </c>
      <c r="BP141" s="57" t="s">
        <v>1283</v>
      </c>
      <c r="BQ141" s="57" t="s">
        <v>1283</v>
      </c>
      <c r="BR141" s="57" t="s">
        <v>1283</v>
      </c>
      <c r="BS141" s="57" t="s">
        <v>1283</v>
      </c>
      <c r="BT141" s="57" t="s">
        <v>1283</v>
      </c>
      <c r="BU141" s="57" t="s">
        <v>1283</v>
      </c>
      <c r="BV141" s="70">
        <f t="shared" si="982"/>
        <v>1029</v>
      </c>
      <c r="BW141" s="71">
        <f t="shared" si="983"/>
        <v>1062</v>
      </c>
      <c r="BX141" s="72">
        <f t="shared" si="984"/>
        <v>1066</v>
      </c>
      <c r="BY141" s="71">
        <f t="shared" si="985"/>
        <v>1098</v>
      </c>
      <c r="BZ141" s="72">
        <f t="shared" si="986"/>
        <v>1102</v>
      </c>
      <c r="CA141" s="71">
        <f t="shared" si="987"/>
        <v>1138</v>
      </c>
      <c r="CB141" s="72">
        <f t="shared" si="988"/>
        <v>1146</v>
      </c>
      <c r="CC141" s="71">
        <f t="shared" si="989"/>
        <v>1191</v>
      </c>
      <c r="CD141" s="72">
        <f t="shared" si="990"/>
        <v>1196</v>
      </c>
      <c r="CE141" s="71">
        <f t="shared" si="991"/>
        <v>1266</v>
      </c>
      <c r="CF141" s="72">
        <f t="shared" si="992"/>
        <v>1304</v>
      </c>
      <c r="CG141" s="71">
        <f t="shared" si="993"/>
        <v>1329</v>
      </c>
      <c r="CH141" s="70">
        <f t="shared" si="994"/>
        <v>1061</v>
      </c>
      <c r="CI141" s="71">
        <f t="shared" si="995"/>
        <v>1065</v>
      </c>
      <c r="CJ141" s="72">
        <f t="shared" si="996"/>
        <v>1097</v>
      </c>
      <c r="CK141" s="72">
        <f t="shared" si="997"/>
        <v>1101</v>
      </c>
      <c r="CL141" s="72">
        <f t="shared" si="998"/>
        <v>1137</v>
      </c>
      <c r="CM141" s="72">
        <f t="shared" si="999"/>
        <v>1145</v>
      </c>
      <c r="CN141" s="72">
        <f t="shared" si="1000"/>
        <v>1172</v>
      </c>
      <c r="CO141" s="72">
        <f t="shared" si="1001"/>
        <v>1193</v>
      </c>
      <c r="CP141" s="72">
        <f t="shared" si="1002"/>
        <v>1225</v>
      </c>
      <c r="CQ141" s="72">
        <f t="shared" si="1003"/>
        <v>1299</v>
      </c>
      <c r="CR141" s="72">
        <f t="shared" si="1004"/>
        <v>1328</v>
      </c>
      <c r="CS141" s="72">
        <f t="shared" si="1005"/>
        <v>1341</v>
      </c>
      <c r="CT141" s="23">
        <f t="shared" si="100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ht="17" customHeight="1" x14ac:dyDescent="0.2">
      <c r="A142" s="3" t="str">
        <f t="shared" si="1231"/>
        <v>adrb2_human_4LDO</v>
      </c>
      <c r="B142" s="3" t="s">
        <v>126</v>
      </c>
      <c r="C142" s="3" t="s">
        <v>1041</v>
      </c>
      <c r="D142" s="3" t="str">
        <f>IFERROR(MID(VLOOKUP($B142,Seqs!$A:$B,2,0),E142,1),"")</f>
        <v/>
      </c>
      <c r="E142" s="3">
        <v>1029</v>
      </c>
      <c r="F142" s="3" t="str">
        <f>IFERROR(MID(VLOOKUP($B142,Seqs!$A:$B,2,0),G142,1),"")</f>
        <v/>
      </c>
      <c r="G142" s="3">
        <v>1061</v>
      </c>
      <c r="H142" s="3" t="str">
        <f>IFERROR(MID(VLOOKUP($B142,Seqs!$A:$B,2,0),I142,1),"")</f>
        <v/>
      </c>
      <c r="I142" s="23">
        <v>1062</v>
      </c>
      <c r="J142" s="3" t="str">
        <f>IFERROR(MID(VLOOKUP($B142,Seqs!$A:$B,2,0),K142,1),"")</f>
        <v/>
      </c>
      <c r="K142" s="23">
        <v>1065</v>
      </c>
      <c r="L142" s="3" t="str">
        <f>IFERROR(MID(VLOOKUP($B142,Seqs!$A:$B,2,0),M142,1),"")</f>
        <v/>
      </c>
      <c r="M142" s="3">
        <v>1066</v>
      </c>
      <c r="N142" s="3" t="str">
        <f>IFERROR(MID(VLOOKUP($B142,Seqs!$A:$B,2,0),O142,1),"")</f>
        <v/>
      </c>
      <c r="O142" s="3">
        <v>1097</v>
      </c>
      <c r="P142" s="3" t="str">
        <f>IFERROR(MID(VLOOKUP($B142,Seqs!$A:$B,2,0),Q142,1),"")</f>
        <v/>
      </c>
      <c r="Q142" s="3">
        <v>1098</v>
      </c>
      <c r="R142" s="3" t="str">
        <f>IFERROR(MID(VLOOKUP($B142,Seqs!$A:$B,2,0),S142,1),"")</f>
        <v/>
      </c>
      <c r="S142" s="3">
        <v>1101</v>
      </c>
      <c r="T142" s="3" t="str">
        <f>IFERROR(MID(VLOOKUP($B142,Seqs!$A:$B,2,0),U142,1),"")</f>
        <v/>
      </c>
      <c r="U142" s="3">
        <v>1102</v>
      </c>
      <c r="V142" s="3" t="str">
        <f>IFERROR(MID(VLOOKUP($B142,Seqs!$A:$B,2,0),W142,1),"")</f>
        <v/>
      </c>
      <c r="W142" s="3">
        <v>1137</v>
      </c>
      <c r="X142" s="3" t="str">
        <f>IFERROR(MID(VLOOKUP($B142,Seqs!$A:$B,2,0),Y142,1),"")</f>
        <v/>
      </c>
      <c r="Y142" s="3">
        <v>1138</v>
      </c>
      <c r="Z142" s="3" t="str">
        <f>IFERROR(MID(VLOOKUP($B142,Seqs!$A:$B,2,0),AA142,1),"")</f>
        <v/>
      </c>
      <c r="AA142" s="3">
        <v>1145</v>
      </c>
      <c r="AB142" s="3" t="str">
        <f>IFERROR(MID(VLOOKUP($B142,Seqs!$A:$B,2,0),AC142,1),"")</f>
        <v/>
      </c>
      <c r="AC142" s="9">
        <v>1146</v>
      </c>
      <c r="AD142" s="3" t="str">
        <f>IFERROR(MID(VLOOKUP($B142,Seqs!$A:$B,2,0),AE142,1),"")</f>
        <v/>
      </c>
      <c r="AE142" s="3">
        <v>1172</v>
      </c>
      <c r="AF142" s="3" t="str">
        <f>IFERROR(MID(VLOOKUP($B142,Seqs!$A:$B,2,0),AG142,1),"")</f>
        <v/>
      </c>
      <c r="AG142" s="3">
        <v>1191</v>
      </c>
      <c r="AH142" s="3" t="str">
        <f>IFERROR(MID(VLOOKUP($B142,Seqs!$A:$B,2,0),AI142,1),"")</f>
        <v/>
      </c>
      <c r="AI142" s="3">
        <v>1193</v>
      </c>
      <c r="AJ142" s="3" t="str">
        <f>IFERROR(MID(VLOOKUP($B142,Seqs!$A:$B,2,0),AK142,1),"")</f>
        <v/>
      </c>
      <c r="AK142" s="3">
        <v>1196</v>
      </c>
      <c r="AL142" s="3" t="str">
        <f>IFERROR(MID(VLOOKUP($B142,Seqs!$A:$B,2,0),AM142,1),"")</f>
        <v/>
      </c>
      <c r="AM142" s="3">
        <v>1225</v>
      </c>
      <c r="AN142" s="3" t="str">
        <f>IFERROR(MID(VLOOKUP($B142,Seqs!$A:$B,2,0),AO142,1),"")</f>
        <v/>
      </c>
      <c r="AO142" s="3">
        <v>1266</v>
      </c>
      <c r="AP142" s="3" t="str">
        <f>IFERROR(MID(VLOOKUP($B142,Seqs!$A:$B,2,0),AQ142,1),"")</f>
        <v/>
      </c>
      <c r="AQ142" s="3">
        <v>1299</v>
      </c>
      <c r="AR142" s="3" t="str">
        <f>IFERROR(MID(VLOOKUP($B142,Seqs!$A:$B,2,0),AS142,1),"")</f>
        <v/>
      </c>
      <c r="AS142" s="3">
        <v>1304</v>
      </c>
      <c r="AT142" s="3" t="str">
        <f>IFERROR(MID(VLOOKUP($B142,Seqs!$A:$B,2,0),AU142,1),"")</f>
        <v/>
      </c>
      <c r="AU142" s="3">
        <v>1328</v>
      </c>
      <c r="AV142" s="3" t="str">
        <f>IFERROR(MID(VLOOKUP($B142,Seqs!$A:$B,2,0),AW142,1),"")</f>
        <v/>
      </c>
      <c r="AW142" s="3">
        <v>1329</v>
      </c>
      <c r="AX142" s="3" t="str">
        <f>IFERROR(MID(VLOOKUP($B142,Seqs!$A:$B,2,0),AY142,1),"")</f>
        <v/>
      </c>
      <c r="AY142" s="3">
        <v>1341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1232"/>
        <v>1</v>
      </c>
      <c r="BC142" s="23">
        <f t="shared" si="981"/>
        <v>249</v>
      </c>
      <c r="BD142" s="4" t="s">
        <v>23</v>
      </c>
      <c r="BE142" s="3" t="s">
        <v>1287</v>
      </c>
      <c r="BF142" s="118">
        <v>3.2</v>
      </c>
      <c r="BG142" s="49" t="s">
        <v>1373</v>
      </c>
      <c r="BH142" s="49" t="s">
        <v>1373</v>
      </c>
      <c r="BI142" s="1"/>
      <c r="BJ142" s="70" t="s">
        <v>1283</v>
      </c>
      <c r="BK142" s="57" t="s">
        <v>1283</v>
      </c>
      <c r="BL142" s="57" t="s">
        <v>1283</v>
      </c>
      <c r="BM142" s="57" t="s">
        <v>1283</v>
      </c>
      <c r="BN142" s="57" t="s">
        <v>1283</v>
      </c>
      <c r="BO142" s="57" t="s">
        <v>1283</v>
      </c>
      <c r="BP142" s="57" t="s">
        <v>1283</v>
      </c>
      <c r="BQ142" s="57" t="s">
        <v>1283</v>
      </c>
      <c r="BR142" s="57" t="s">
        <v>1283</v>
      </c>
      <c r="BS142" s="57" t="s">
        <v>1283</v>
      </c>
      <c r="BT142" s="57" t="s">
        <v>1283</v>
      </c>
      <c r="BU142" s="57" t="s">
        <v>1283</v>
      </c>
      <c r="BV142" s="70">
        <f t="shared" si="982"/>
        <v>1029</v>
      </c>
      <c r="BW142" s="71">
        <f t="shared" si="983"/>
        <v>1062</v>
      </c>
      <c r="BX142" s="72">
        <f t="shared" si="984"/>
        <v>1066</v>
      </c>
      <c r="BY142" s="71">
        <f t="shared" si="985"/>
        <v>1098</v>
      </c>
      <c r="BZ142" s="72">
        <f t="shared" si="986"/>
        <v>1102</v>
      </c>
      <c r="CA142" s="71">
        <f t="shared" si="987"/>
        <v>1138</v>
      </c>
      <c r="CB142" s="72">
        <f t="shared" si="988"/>
        <v>1146</v>
      </c>
      <c r="CC142" s="71">
        <f t="shared" si="989"/>
        <v>1191</v>
      </c>
      <c r="CD142" s="72">
        <f t="shared" si="990"/>
        <v>1196</v>
      </c>
      <c r="CE142" s="71">
        <f t="shared" si="991"/>
        <v>1266</v>
      </c>
      <c r="CF142" s="72">
        <f t="shared" si="992"/>
        <v>1304</v>
      </c>
      <c r="CG142" s="71">
        <f t="shared" si="993"/>
        <v>1329</v>
      </c>
      <c r="CH142" s="70">
        <f t="shared" si="994"/>
        <v>1061</v>
      </c>
      <c r="CI142" s="71">
        <f t="shared" si="995"/>
        <v>1065</v>
      </c>
      <c r="CJ142" s="72">
        <f t="shared" si="996"/>
        <v>1097</v>
      </c>
      <c r="CK142" s="72">
        <f t="shared" si="997"/>
        <v>1101</v>
      </c>
      <c r="CL142" s="72">
        <f t="shared" si="998"/>
        <v>1137</v>
      </c>
      <c r="CM142" s="72">
        <f t="shared" si="999"/>
        <v>1145</v>
      </c>
      <c r="CN142" s="72">
        <f t="shared" si="1000"/>
        <v>1172</v>
      </c>
      <c r="CO142" s="72">
        <f t="shared" si="1001"/>
        <v>1193</v>
      </c>
      <c r="CP142" s="72">
        <f t="shared" si="1002"/>
        <v>1225</v>
      </c>
      <c r="CQ142" s="72">
        <f t="shared" si="1003"/>
        <v>1299</v>
      </c>
      <c r="CR142" s="72">
        <f t="shared" si="1004"/>
        <v>1328</v>
      </c>
      <c r="CS142" s="72">
        <f t="shared" si="1005"/>
        <v>1341</v>
      </c>
      <c r="CT142" s="23">
        <f t="shared" si="100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231"/>
        <v>adrb2_human_4QKX</v>
      </c>
      <c r="B143" s="3" t="s">
        <v>126</v>
      </c>
      <c r="C143" s="3" t="s">
        <v>78</v>
      </c>
      <c r="D143" s="3" t="str">
        <f>IFERROR(MID(VLOOKUP($B143,Seqs!$A:$B,2,0),E143,1),"")</f>
        <v/>
      </c>
      <c r="E143" s="3">
        <v>1029</v>
      </c>
      <c r="F143" s="3" t="str">
        <f>IFERROR(MID(VLOOKUP($B143,Seqs!$A:$B,2,0),G143,1),"")</f>
        <v/>
      </c>
      <c r="G143" s="3">
        <v>1061</v>
      </c>
      <c r="H143" s="3" t="str">
        <f>IFERROR(MID(VLOOKUP($B143,Seqs!$A:$B,2,0),I143,1),"")</f>
        <v/>
      </c>
      <c r="I143" s="23">
        <v>1062</v>
      </c>
      <c r="J143" s="3" t="str">
        <f>IFERROR(MID(VLOOKUP($B143,Seqs!$A:$B,2,0),K143,1),"")</f>
        <v/>
      </c>
      <c r="K143" s="23">
        <v>1065</v>
      </c>
      <c r="L143" s="3" t="str">
        <f>IFERROR(MID(VLOOKUP($B143,Seqs!$A:$B,2,0),M143,1),"")</f>
        <v/>
      </c>
      <c r="M143" s="3">
        <v>1066</v>
      </c>
      <c r="N143" s="3" t="str">
        <f>IFERROR(MID(VLOOKUP($B143,Seqs!$A:$B,2,0),O143,1),"")</f>
        <v/>
      </c>
      <c r="O143" s="3">
        <v>1096</v>
      </c>
      <c r="P143" s="3" t="str">
        <f>IFERROR(MID(VLOOKUP($B143,Seqs!$A:$B,2,0),Q143,1),"")</f>
        <v/>
      </c>
      <c r="Q143" s="3">
        <v>1098</v>
      </c>
      <c r="R143" s="3" t="str">
        <f>IFERROR(MID(VLOOKUP($B143,Seqs!$A:$B,2,0),S143,1),"")</f>
        <v/>
      </c>
      <c r="S143" s="3">
        <v>1101</v>
      </c>
      <c r="T143" s="3" t="str">
        <f>IFERROR(MID(VLOOKUP($B143,Seqs!$A:$B,2,0),U143,1),"")</f>
        <v/>
      </c>
      <c r="U143" s="3">
        <v>1102</v>
      </c>
      <c r="V143" s="3" t="str">
        <f>IFERROR(MID(VLOOKUP($B143,Seqs!$A:$B,2,0),W143,1),"")</f>
        <v/>
      </c>
      <c r="W143" s="3">
        <v>1137</v>
      </c>
      <c r="X143" s="3" t="str">
        <f>IFERROR(MID(VLOOKUP($B143,Seqs!$A:$B,2,0),Y143,1),"")</f>
        <v/>
      </c>
      <c r="Y143" s="3">
        <v>1138</v>
      </c>
      <c r="Z143" s="3" t="str">
        <f>IFERROR(MID(VLOOKUP($B143,Seqs!$A:$B,2,0),AA143,1),"")</f>
        <v/>
      </c>
      <c r="AA143" s="3">
        <v>1145</v>
      </c>
      <c r="AB143" s="3" t="str">
        <f>IFERROR(MID(VLOOKUP($B143,Seqs!$A:$B,2,0),AC143,1),"")</f>
        <v/>
      </c>
      <c r="AC143" s="9">
        <v>1146</v>
      </c>
      <c r="AD143" s="3" t="str">
        <f>IFERROR(MID(VLOOKUP($B143,Seqs!$A:$B,2,0),AE143,1),"")</f>
        <v/>
      </c>
      <c r="AE143" s="3">
        <v>1172</v>
      </c>
      <c r="AF143" s="3" t="str">
        <f>IFERROR(MID(VLOOKUP($B143,Seqs!$A:$B,2,0),AG143,1),"")</f>
        <v/>
      </c>
      <c r="AG143" s="3">
        <v>1191</v>
      </c>
      <c r="AH143" s="3" t="str">
        <f>IFERROR(MID(VLOOKUP($B143,Seqs!$A:$B,2,0),AI143,1),"")</f>
        <v/>
      </c>
      <c r="AI143" s="3">
        <v>1193</v>
      </c>
      <c r="AJ143" s="3" t="str">
        <f>IFERROR(MID(VLOOKUP($B143,Seqs!$A:$B,2,0),AK143,1),"")</f>
        <v/>
      </c>
      <c r="AK143" s="3">
        <v>1196</v>
      </c>
      <c r="AL143" s="3" t="str">
        <f>IFERROR(MID(VLOOKUP($B143,Seqs!$A:$B,2,0),AM143,1),"")</f>
        <v/>
      </c>
      <c r="AM143" s="3">
        <v>1225</v>
      </c>
      <c r="AN143" s="3" t="str">
        <f>IFERROR(MID(VLOOKUP($B143,Seqs!$A:$B,2,0),AO143,1),"")</f>
        <v/>
      </c>
      <c r="AO143" s="3">
        <v>1266</v>
      </c>
      <c r="AP143" s="3" t="str">
        <f>IFERROR(MID(VLOOKUP($B143,Seqs!$A:$B,2,0),AQ143,1),"")</f>
        <v/>
      </c>
      <c r="AQ143" s="3">
        <v>1299</v>
      </c>
      <c r="AR143" s="3" t="str">
        <f>IFERROR(MID(VLOOKUP($B143,Seqs!$A:$B,2,0),AS143,1),"")</f>
        <v/>
      </c>
      <c r="AS143" s="3">
        <v>1304</v>
      </c>
      <c r="AT143" s="3" t="str">
        <f>IFERROR(MID(VLOOKUP($B143,Seqs!$A:$B,2,0),AU143,1),"")</f>
        <v/>
      </c>
      <c r="AU143" s="3">
        <v>1328</v>
      </c>
      <c r="AV143" s="3" t="str">
        <f>IFERROR(MID(VLOOKUP($B143,Seqs!$A:$B,2,0),AW143,1),"")</f>
        <v/>
      </c>
      <c r="AW143" s="3">
        <v>1329</v>
      </c>
      <c r="AX143" s="3" t="str">
        <f>IFERROR(MID(VLOOKUP($B143,Seqs!$A:$B,2,0),AY143,1),"")</f>
        <v/>
      </c>
      <c r="AY143" s="3">
        <v>1341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1232"/>
        <v>1</v>
      </c>
      <c r="BC143" s="23">
        <f t="shared" si="981"/>
        <v>248</v>
      </c>
      <c r="BD143" s="4" t="s">
        <v>23</v>
      </c>
      <c r="BE143" s="3" t="s">
        <v>1287</v>
      </c>
      <c r="BF143" s="118">
        <v>3.3</v>
      </c>
      <c r="BG143" s="49" t="s">
        <v>1373</v>
      </c>
      <c r="BH143" s="49" t="s">
        <v>1373</v>
      </c>
      <c r="BI143" s="1"/>
      <c r="BJ143" s="70" t="s">
        <v>1283</v>
      </c>
      <c r="BK143" s="57" t="s">
        <v>1283</v>
      </c>
      <c r="BL143" s="57" t="s">
        <v>1283</v>
      </c>
      <c r="BM143" s="57" t="s">
        <v>1283</v>
      </c>
      <c r="BN143" s="57" t="s">
        <v>1283</v>
      </c>
      <c r="BO143" s="57" t="s">
        <v>1283</v>
      </c>
      <c r="BP143" s="57" t="s">
        <v>1283</v>
      </c>
      <c r="BQ143" s="57" t="s">
        <v>1283</v>
      </c>
      <c r="BR143" s="57" t="s">
        <v>1283</v>
      </c>
      <c r="BS143" s="57" t="s">
        <v>1283</v>
      </c>
      <c r="BT143" s="57" t="s">
        <v>1283</v>
      </c>
      <c r="BU143" s="57" t="s">
        <v>1283</v>
      </c>
      <c r="BV143" s="70">
        <f t="shared" si="982"/>
        <v>1029</v>
      </c>
      <c r="BW143" s="71">
        <f t="shared" si="983"/>
        <v>1062</v>
      </c>
      <c r="BX143" s="72">
        <f t="shared" si="984"/>
        <v>1066</v>
      </c>
      <c r="BY143" s="71">
        <f t="shared" si="985"/>
        <v>1098</v>
      </c>
      <c r="BZ143" s="72">
        <f t="shared" si="986"/>
        <v>1102</v>
      </c>
      <c r="CA143" s="71">
        <f t="shared" si="987"/>
        <v>1138</v>
      </c>
      <c r="CB143" s="72">
        <f t="shared" si="988"/>
        <v>1146</v>
      </c>
      <c r="CC143" s="71">
        <f t="shared" si="989"/>
        <v>1191</v>
      </c>
      <c r="CD143" s="72">
        <f t="shared" si="990"/>
        <v>1196</v>
      </c>
      <c r="CE143" s="71">
        <f t="shared" si="991"/>
        <v>1266</v>
      </c>
      <c r="CF143" s="72">
        <f t="shared" si="992"/>
        <v>1304</v>
      </c>
      <c r="CG143" s="71">
        <f t="shared" si="993"/>
        <v>1329</v>
      </c>
      <c r="CH143" s="70">
        <f t="shared" si="994"/>
        <v>1061</v>
      </c>
      <c r="CI143" s="71">
        <f t="shared" si="995"/>
        <v>1065</v>
      </c>
      <c r="CJ143" s="72">
        <f t="shared" si="996"/>
        <v>1096</v>
      </c>
      <c r="CK143" s="72">
        <f t="shared" si="997"/>
        <v>1101</v>
      </c>
      <c r="CL143" s="72">
        <f t="shared" si="998"/>
        <v>1137</v>
      </c>
      <c r="CM143" s="72">
        <f t="shared" si="999"/>
        <v>1145</v>
      </c>
      <c r="CN143" s="72">
        <f t="shared" si="1000"/>
        <v>1172</v>
      </c>
      <c r="CO143" s="72">
        <f t="shared" si="1001"/>
        <v>1193</v>
      </c>
      <c r="CP143" s="72">
        <f t="shared" si="1002"/>
        <v>1225</v>
      </c>
      <c r="CQ143" s="72">
        <f t="shared" si="1003"/>
        <v>1299</v>
      </c>
      <c r="CR143" s="72">
        <f t="shared" si="1004"/>
        <v>1328</v>
      </c>
      <c r="CS143" s="72">
        <f t="shared" si="1005"/>
        <v>1341</v>
      </c>
      <c r="CT143" s="23">
        <f t="shared" si="100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1231"/>
        <v>adrb2_human_5D6L</v>
      </c>
      <c r="B144" s="3" t="s">
        <v>126</v>
      </c>
      <c r="C144" s="3" t="s">
        <v>1339</v>
      </c>
      <c r="D144" s="3" t="str">
        <f>IFERROR(MID(VLOOKUP($B144,Seqs!$A:$B,2,0),E144,1),"")</f>
        <v>D</v>
      </c>
      <c r="E144" s="3">
        <v>29</v>
      </c>
      <c r="F144" s="3" t="str">
        <f>IFERROR(MID(VLOOKUP($B144,Seqs!$A:$B,2,0),G144,1),"")</f>
        <v>F</v>
      </c>
      <c r="G144" s="3">
        <v>61</v>
      </c>
      <c r="H144" s="3" t="str">
        <f>IFERROR(MID(VLOOKUP($B144,Seqs!$A:$B,2,0),I144,1),"")</f>
        <v>E</v>
      </c>
      <c r="I144" s="23">
        <v>62</v>
      </c>
      <c r="J144" s="3" t="str">
        <f>IFERROR(MID(VLOOKUP($B144,Seqs!$A:$B,2,0),K144,1),"")</f>
        <v>Q</v>
      </c>
      <c r="K144" s="23">
        <v>65</v>
      </c>
      <c r="L144" s="3" t="str">
        <f>IFERROR(MID(VLOOKUP($B144,Seqs!$A:$B,2,0),M144,1),"")</f>
        <v>T</v>
      </c>
      <c r="M144" s="3">
        <v>66</v>
      </c>
      <c r="N144" s="3" t="str">
        <f>IFERROR(MID(VLOOKUP($B144,Seqs!$A:$B,2,0),O144,1),"")</f>
        <v>M</v>
      </c>
      <c r="O144" s="3">
        <v>96</v>
      </c>
      <c r="P144" s="3" t="str">
        <f>IFERROR(MID(VLOOKUP($B144,Seqs!$A:$B,2,0),Q144,1),"")</f>
        <v>M</v>
      </c>
      <c r="Q144" s="3">
        <v>98</v>
      </c>
      <c r="R144" s="3" t="str">
        <f>IFERROR(MID(VLOOKUP($B144,Seqs!$A:$B,2,0),S144,1),"")</f>
        <v>F</v>
      </c>
      <c r="S144" s="3">
        <v>101</v>
      </c>
      <c r="T144" s="3" t="str">
        <f>IFERROR(MID(VLOOKUP($B144,Seqs!$A:$B,2,0),U144,1),"")</f>
        <v>G</v>
      </c>
      <c r="U144" s="3">
        <v>102</v>
      </c>
      <c r="V144" s="3" t="str">
        <f>IFERROR(MID(VLOOKUP($B144,Seqs!$A:$B,2,0),W144,1),"")</f>
        <v>S</v>
      </c>
      <c r="W144" s="3">
        <v>137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146</v>
      </c>
      <c r="AD144" s="3" t="str">
        <f>IFERROR(MID(VLOOKUP($B144,Seqs!$A:$B,2,0),AE144,1),"")</f>
        <v>H</v>
      </c>
      <c r="AE144" s="3">
        <v>172</v>
      </c>
      <c r="AF144" s="3" t="str">
        <f>IFERROR(MID(VLOOKUP($B144,Seqs!$A:$B,2,0),AG144,1),"")</f>
        <v>C</v>
      </c>
      <c r="AG144" s="3">
        <v>191</v>
      </c>
      <c r="AH144" s="3" t="str">
        <f>IFERROR(MID(VLOOKUP($B144,Seqs!$A:$B,2,0),AI144,1),"")</f>
        <v>F</v>
      </c>
      <c r="AI144" s="3">
        <v>193</v>
      </c>
      <c r="AJ144" s="3" t="str">
        <f>IFERROR(MID(VLOOKUP($B144,Seqs!$A:$B,2,0),AK144,1),"")</f>
        <v>N</v>
      </c>
      <c r="AK144" s="3">
        <v>196</v>
      </c>
      <c r="AL144" s="3" t="str">
        <f>IFERROR(MID(VLOOKUP($B144,Seqs!$A:$B,2,0),AM144,1),"")</f>
        <v>Q</v>
      </c>
      <c r="AM144" s="3">
        <v>229</v>
      </c>
      <c r="AN144" s="3" t="str">
        <f>IFERROR(MID(VLOOKUP($B144,Seqs!$A:$B,2,0),AO144,1),"")</f>
        <v>K</v>
      </c>
      <c r="AO144" s="3">
        <v>267</v>
      </c>
      <c r="AP144" s="3" t="str">
        <f>IFERROR(MID(VLOOKUP($B144,Seqs!$A:$B,2,0),AQ144,1),"")</f>
        <v>Q</v>
      </c>
      <c r="AQ144" s="3">
        <v>299</v>
      </c>
      <c r="AR144" s="3" t="str">
        <f>IFERROR(MID(VLOOKUP($B144,Seqs!$A:$B,2,0),AS144,1),"")</f>
        <v>R</v>
      </c>
      <c r="AS144" s="3">
        <v>304</v>
      </c>
      <c r="AT144" s="3" t="str">
        <f>IFERROR(MID(VLOOKUP($B144,Seqs!$A:$B,2,0),AU144,1),"")</f>
        <v>R</v>
      </c>
      <c r="AU144" s="3">
        <v>328</v>
      </c>
      <c r="AV144" s="3" t="str">
        <f>IFERROR(MID(VLOOKUP($B144,Seqs!$A:$B,2,0),AW144,1),"")</f>
        <v>S</v>
      </c>
      <c r="AW144" s="3">
        <v>329</v>
      </c>
      <c r="AX144" s="3" t="str">
        <f>IFERROR(MID(VLOOKUP($B144,Seqs!$A:$B,2,0),AY144,1),"")</f>
        <v>C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si="1232"/>
        <v>1</v>
      </c>
      <c r="BC144" s="23">
        <f t="shared" si="981"/>
        <v>244</v>
      </c>
      <c r="BD144" s="4" t="s">
        <v>23</v>
      </c>
      <c r="BE144" s="3" t="s">
        <v>1370</v>
      </c>
      <c r="BF144" s="118">
        <v>3.2</v>
      </c>
      <c r="BG144" s="49" t="s">
        <v>1</v>
      </c>
      <c r="BH144" s="49" t="s">
        <v>1373</v>
      </c>
      <c r="BI144" s="1"/>
      <c r="BJ144" s="70" t="s">
        <v>1283</v>
      </c>
      <c r="BK144" s="57" t="s">
        <v>1283</v>
      </c>
      <c r="BL144" s="57" t="s">
        <v>1283</v>
      </c>
      <c r="BM144" s="57" t="s">
        <v>1283</v>
      </c>
      <c r="BN144" s="57" t="s">
        <v>1283</v>
      </c>
      <c r="BO144" s="57" t="s">
        <v>1283</v>
      </c>
      <c r="BP144" s="57" t="s">
        <v>1283</v>
      </c>
      <c r="BQ144" s="57" t="s">
        <v>1283</v>
      </c>
      <c r="BR144" s="57" t="s">
        <v>1283</v>
      </c>
      <c r="BS144" s="57" t="s">
        <v>1283</v>
      </c>
      <c r="BT144" s="57" t="s">
        <v>1283</v>
      </c>
      <c r="BU144" s="57" t="s">
        <v>1283</v>
      </c>
      <c r="BV144" s="70">
        <f t="shared" si="982"/>
        <v>29</v>
      </c>
      <c r="BW144" s="71">
        <f t="shared" si="983"/>
        <v>62</v>
      </c>
      <c r="BX144" s="72">
        <f t="shared" si="984"/>
        <v>66</v>
      </c>
      <c r="BY144" s="71">
        <f t="shared" si="985"/>
        <v>98</v>
      </c>
      <c r="BZ144" s="72">
        <f t="shared" si="986"/>
        <v>102</v>
      </c>
      <c r="CA144" s="71" t="str">
        <f t="shared" si="987"/>
        <v>-</v>
      </c>
      <c r="CB144" s="72">
        <f t="shared" si="988"/>
        <v>146</v>
      </c>
      <c r="CC144" s="71">
        <f t="shared" si="989"/>
        <v>191</v>
      </c>
      <c r="CD144" s="72">
        <f t="shared" si="990"/>
        <v>196</v>
      </c>
      <c r="CE144" s="71">
        <f t="shared" si="991"/>
        <v>267</v>
      </c>
      <c r="CF144" s="72">
        <f t="shared" si="992"/>
        <v>304</v>
      </c>
      <c r="CG144" s="71">
        <f t="shared" si="993"/>
        <v>329</v>
      </c>
      <c r="CH144" s="70">
        <f t="shared" si="994"/>
        <v>61</v>
      </c>
      <c r="CI144" s="71">
        <f t="shared" si="995"/>
        <v>65</v>
      </c>
      <c r="CJ144" s="72">
        <f t="shared" si="996"/>
        <v>96</v>
      </c>
      <c r="CK144" s="72">
        <f t="shared" si="997"/>
        <v>101</v>
      </c>
      <c r="CL144" s="72">
        <f t="shared" si="998"/>
        <v>137</v>
      </c>
      <c r="CM144" s="72" t="str">
        <f t="shared" si="999"/>
        <v>-</v>
      </c>
      <c r="CN144" s="72">
        <f t="shared" si="1000"/>
        <v>172</v>
      </c>
      <c r="CO144" s="72">
        <f t="shared" si="1001"/>
        <v>193</v>
      </c>
      <c r="CP144" s="72">
        <f t="shared" si="1002"/>
        <v>229</v>
      </c>
      <c r="CQ144" s="72">
        <f t="shared" si="1003"/>
        <v>299</v>
      </c>
      <c r="CR144" s="72">
        <f t="shared" si="1004"/>
        <v>328</v>
      </c>
      <c r="CS144" s="72">
        <f t="shared" si="1005"/>
        <v>341</v>
      </c>
      <c r="CT144" s="23">
        <f t="shared" si="100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1231"/>
        <v>adrb2_human_5JQH</v>
      </c>
      <c r="B145" s="3" t="s">
        <v>126</v>
      </c>
      <c r="C145" s="3" t="s">
        <v>1340</v>
      </c>
      <c r="D145" s="3" t="str">
        <f>IFERROR(MID(VLOOKUP($B145,Seqs!$A:$B,2,0),E145,1),"")</f>
        <v/>
      </c>
      <c r="E145" s="3">
        <v>1023</v>
      </c>
      <c r="F145" s="3" t="str">
        <f>IFERROR(MID(VLOOKUP($B145,Seqs!$A:$B,2,0),G145,1),"")</f>
        <v/>
      </c>
      <c r="G145" s="3">
        <v>1061</v>
      </c>
      <c r="H145" s="3" t="str">
        <f>IFERROR(MID(VLOOKUP($B145,Seqs!$A:$B,2,0),I145,1),"")</f>
        <v/>
      </c>
      <c r="I145" s="23">
        <v>1062</v>
      </c>
      <c r="J145" s="3" t="str">
        <f>IFERROR(MID(VLOOKUP($B145,Seqs!$A:$B,2,0),K145,1),"")</f>
        <v/>
      </c>
      <c r="K145" s="23">
        <v>1065</v>
      </c>
      <c r="L145" s="3" t="str">
        <f>IFERROR(MID(VLOOKUP($B145,Seqs!$A:$B,2,0),M145,1),"")</f>
        <v/>
      </c>
      <c r="M145" s="3">
        <v>1066</v>
      </c>
      <c r="N145" s="3" t="str">
        <f>IFERROR(MID(VLOOKUP($B145,Seqs!$A:$B,2,0),O145,1),"")</f>
        <v/>
      </c>
      <c r="O145" s="3">
        <v>1096</v>
      </c>
      <c r="P145" s="3" t="str">
        <f>IFERROR(MID(VLOOKUP($B145,Seqs!$A:$B,2,0),Q145,1),"")</f>
        <v/>
      </c>
      <c r="Q145" s="3">
        <v>1098</v>
      </c>
      <c r="R145" s="3" t="str">
        <f>IFERROR(MID(VLOOKUP($B145,Seqs!$A:$B,2,0),S145,1),"")</f>
        <v/>
      </c>
      <c r="S145" s="3">
        <v>1101</v>
      </c>
      <c r="T145" s="3" t="str">
        <f>IFERROR(MID(VLOOKUP($B145,Seqs!$A:$B,2,0),U145,1),"")</f>
        <v/>
      </c>
      <c r="U145" s="3">
        <v>1102</v>
      </c>
      <c r="V145" s="3" t="str">
        <f>IFERROR(MID(VLOOKUP($B145,Seqs!$A:$B,2,0),W145,1),"")</f>
        <v/>
      </c>
      <c r="W145" s="3">
        <v>1137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/>
      </c>
      <c r="AC145" s="9">
        <v>1146</v>
      </c>
      <c r="AD145" s="3" t="str">
        <f>IFERROR(MID(VLOOKUP($B145,Seqs!$A:$B,2,0),AE145,1),"")</f>
        <v/>
      </c>
      <c r="AE145" s="3">
        <v>1172</v>
      </c>
      <c r="AF145" s="3" t="str">
        <f>IFERROR(MID(VLOOKUP($B145,Seqs!$A:$B,2,0),AG145,1),"")</f>
        <v/>
      </c>
      <c r="AG145" s="3">
        <v>1191</v>
      </c>
      <c r="AH145" s="3" t="str">
        <f>IFERROR(MID(VLOOKUP($B145,Seqs!$A:$B,2,0),AI145,1),"")</f>
        <v/>
      </c>
      <c r="AI145" s="3">
        <v>1193</v>
      </c>
      <c r="AJ145" s="3" t="str">
        <f>IFERROR(MID(VLOOKUP($B145,Seqs!$A:$B,2,0),AK145,1),"")</f>
        <v/>
      </c>
      <c r="AK145" s="3">
        <v>1196</v>
      </c>
      <c r="AL145" s="3" t="str">
        <f>IFERROR(MID(VLOOKUP($B145,Seqs!$A:$B,2,0),AM145,1),"")</f>
        <v/>
      </c>
      <c r="AM145" s="3">
        <v>1230</v>
      </c>
      <c r="AN145" s="3" t="str">
        <f>IFERROR(MID(VLOOKUP($B145,Seqs!$A:$B,2,0),AO145,1),"")</f>
        <v/>
      </c>
      <c r="AO145" s="3">
        <v>1271</v>
      </c>
      <c r="AP145" s="3" t="str">
        <f>IFERROR(MID(VLOOKUP($B145,Seqs!$A:$B,2,0),AQ145,1),"")</f>
        <v/>
      </c>
      <c r="AQ145" s="3">
        <v>1299</v>
      </c>
      <c r="AR145" s="3" t="str">
        <f>IFERROR(MID(VLOOKUP($B145,Seqs!$A:$B,2,0),AS145,1),"")</f>
        <v/>
      </c>
      <c r="AS145" s="3">
        <v>1304</v>
      </c>
      <c r="AT145" s="3" t="str">
        <f>IFERROR(MID(VLOOKUP($B145,Seqs!$A:$B,2,0),AU145,1),"")</f>
        <v/>
      </c>
      <c r="AU145" s="3">
        <v>1328</v>
      </c>
      <c r="AV145" s="3" t="str">
        <f>IFERROR(MID(VLOOKUP($B145,Seqs!$A:$B,2,0),AW145,1),"")</f>
        <v/>
      </c>
      <c r="AW145" s="3">
        <v>1329</v>
      </c>
      <c r="AX145" s="3" t="str">
        <f>IFERROR(MID(VLOOKUP($B145,Seqs!$A:$B,2,0),AY145,1),"")</f>
        <v/>
      </c>
      <c r="AY145" s="3">
        <v>1341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si="1232"/>
        <v>1</v>
      </c>
      <c r="BC145" s="23">
        <f t="shared" si="981"/>
        <v>247</v>
      </c>
      <c r="BD145" s="74" t="s">
        <v>1372</v>
      </c>
      <c r="BE145" s="3" t="s">
        <v>1370</v>
      </c>
      <c r="BF145" s="118">
        <v>3.2</v>
      </c>
      <c r="BG145" s="49" t="s">
        <v>1277</v>
      </c>
      <c r="BH145" s="49" t="s">
        <v>1373</v>
      </c>
      <c r="BI145" s="1"/>
      <c r="BJ145" s="70" t="s">
        <v>1283</v>
      </c>
      <c r="BK145" s="57" t="s">
        <v>1283</v>
      </c>
      <c r="BL145" s="57" t="s">
        <v>1283</v>
      </c>
      <c r="BM145" s="57" t="s">
        <v>1283</v>
      </c>
      <c r="BN145" s="57" t="s">
        <v>1283</v>
      </c>
      <c r="BO145" s="57" t="s">
        <v>1283</v>
      </c>
      <c r="BP145" s="57" t="s">
        <v>1283</v>
      </c>
      <c r="BQ145" s="57" t="s">
        <v>1283</v>
      </c>
      <c r="BR145" s="57" t="s">
        <v>1283</v>
      </c>
      <c r="BS145" s="57" t="s">
        <v>1283</v>
      </c>
      <c r="BT145" s="57" t="s">
        <v>1283</v>
      </c>
      <c r="BU145" s="57" t="s">
        <v>1283</v>
      </c>
      <c r="BV145" s="70">
        <f t="shared" si="982"/>
        <v>1023</v>
      </c>
      <c r="BW145" s="71">
        <f t="shared" si="983"/>
        <v>1062</v>
      </c>
      <c r="BX145" s="72">
        <f t="shared" si="984"/>
        <v>1066</v>
      </c>
      <c r="BY145" s="71">
        <f t="shared" si="985"/>
        <v>1098</v>
      </c>
      <c r="BZ145" s="72">
        <f t="shared" si="986"/>
        <v>1102</v>
      </c>
      <c r="CA145" s="71" t="str">
        <f t="shared" si="987"/>
        <v>-</v>
      </c>
      <c r="CB145" s="72">
        <f t="shared" si="988"/>
        <v>1146</v>
      </c>
      <c r="CC145" s="71">
        <f t="shared" si="989"/>
        <v>1191</v>
      </c>
      <c r="CD145" s="72">
        <f t="shared" si="990"/>
        <v>1196</v>
      </c>
      <c r="CE145" s="71">
        <f t="shared" si="991"/>
        <v>1271</v>
      </c>
      <c r="CF145" s="72">
        <f t="shared" si="992"/>
        <v>1304</v>
      </c>
      <c r="CG145" s="71">
        <f t="shared" si="993"/>
        <v>1329</v>
      </c>
      <c r="CH145" s="70">
        <f t="shared" si="994"/>
        <v>1061</v>
      </c>
      <c r="CI145" s="71">
        <f t="shared" si="995"/>
        <v>1065</v>
      </c>
      <c r="CJ145" s="72">
        <f t="shared" si="996"/>
        <v>1096</v>
      </c>
      <c r="CK145" s="72">
        <f t="shared" si="997"/>
        <v>1101</v>
      </c>
      <c r="CL145" s="72">
        <f t="shared" si="998"/>
        <v>1137</v>
      </c>
      <c r="CM145" s="72" t="str">
        <f t="shared" si="999"/>
        <v>-</v>
      </c>
      <c r="CN145" s="72">
        <f t="shared" si="1000"/>
        <v>1172</v>
      </c>
      <c r="CO145" s="72">
        <f t="shared" si="1001"/>
        <v>1193</v>
      </c>
      <c r="CP145" s="72">
        <f t="shared" si="1002"/>
        <v>1230</v>
      </c>
      <c r="CQ145" s="72">
        <f t="shared" si="1003"/>
        <v>1299</v>
      </c>
      <c r="CR145" s="72">
        <f t="shared" si="1004"/>
        <v>1328</v>
      </c>
      <c r="CS145" s="72">
        <f t="shared" si="1005"/>
        <v>1341</v>
      </c>
      <c r="CT145" s="23">
        <f t="shared" si="1006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ref="A146:A158" si="1233">CONCATENATE(B146,"_",C146)</f>
        <v>adrb2_human_5X7D</v>
      </c>
      <c r="B146" s="3" t="s">
        <v>126</v>
      </c>
      <c r="C146" s="3" t="s">
        <v>1433</v>
      </c>
      <c r="D146" s="3" t="str">
        <f>IFERROR(MID(VLOOKUP($B146,Seqs!$A:$B,2,0),E146,1),"")</f>
        <v>V</v>
      </c>
      <c r="E146" s="3">
        <v>33</v>
      </c>
      <c r="F146" s="3" t="str">
        <f>IFERROR(MID(VLOOKUP($B146,Seqs!$A:$B,2,0),G146,1),"")</f>
        <v>F</v>
      </c>
      <c r="G146" s="3">
        <v>61</v>
      </c>
      <c r="H146" s="3" t="str">
        <f>IFERROR(MID(VLOOKUP($B146,Seqs!$A:$B,2,0),I146,1),"")</f>
        <v>E</v>
      </c>
      <c r="I146" s="23">
        <v>62</v>
      </c>
      <c r="J146" s="3" t="str">
        <f>IFERROR(MID(VLOOKUP($B146,Seqs!$A:$B,2,0),K146,1),"")</f>
        <v>Q</v>
      </c>
      <c r="K146" s="23">
        <v>65</v>
      </c>
      <c r="L146" s="3" t="str">
        <f>IFERROR(MID(VLOOKUP($B146,Seqs!$A:$B,2,0),M146,1),"")</f>
        <v>T</v>
      </c>
      <c r="M146" s="3">
        <v>66</v>
      </c>
      <c r="N146" s="3" t="str">
        <f>IFERROR(MID(VLOOKUP($B146,Seqs!$A:$B,2,0),O146,1),"")</f>
        <v>K</v>
      </c>
      <c r="O146" s="3">
        <v>97</v>
      </c>
      <c r="P146" s="3" t="str">
        <f>IFERROR(MID(VLOOKUP($B146,Seqs!$A:$B,2,0),Q146,1),"")</f>
        <v>M</v>
      </c>
      <c r="Q146" s="3">
        <v>98</v>
      </c>
      <c r="R146" s="3" t="str">
        <f>IFERROR(MID(VLOOKUP($B146,Seqs!$A:$B,2,0),S146,1),"")</f>
        <v>F</v>
      </c>
      <c r="S146" s="3">
        <v>101</v>
      </c>
      <c r="T146" s="3" t="str">
        <f>IFERROR(MID(VLOOKUP($B146,Seqs!$A:$B,2,0),U146,1),"")</f>
        <v>G</v>
      </c>
      <c r="U146" s="3">
        <v>102</v>
      </c>
      <c r="V146" s="3" t="str">
        <f>IFERROR(MID(VLOOKUP($B146,Seqs!$A:$B,2,0),W146,1),"")</f>
        <v>T</v>
      </c>
      <c r="W146" s="3">
        <v>136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T</v>
      </c>
      <c r="AC146" s="3">
        <v>146</v>
      </c>
      <c r="AD146" s="3" t="str">
        <f>IFERROR(MID(VLOOKUP($B146,Seqs!$A:$B,2,0),AE146,1),"")</f>
        <v>H</v>
      </c>
      <c r="AE146" s="3">
        <v>172</v>
      </c>
      <c r="AF146" s="3" t="str">
        <f>IFERROR(MID(VLOOKUP($B146,Seqs!$A:$B,2,0),AG146,1),"")</f>
        <v>C</v>
      </c>
      <c r="AG146" s="3">
        <v>191</v>
      </c>
      <c r="AH146" s="3" t="str">
        <f>IFERROR(MID(VLOOKUP($B146,Seqs!$A:$B,2,0),AI146,1),"")</f>
        <v>F</v>
      </c>
      <c r="AI146" s="3">
        <v>193</v>
      </c>
      <c r="AJ146" s="3" t="str">
        <f>IFERROR(MID(VLOOKUP($B146,Seqs!$A:$B,2,0),AK146,1),"")</f>
        <v>N</v>
      </c>
      <c r="AK146" s="3">
        <v>196</v>
      </c>
      <c r="AL146" s="3" t="str">
        <f>IFERROR(MID(VLOOKUP($B146,Seqs!$A:$B,2,0),AM146,1),"")</f>
        <v>L</v>
      </c>
      <c r="AM146" s="3">
        <v>230</v>
      </c>
      <c r="AN146" s="3" t="str">
        <f>IFERROR(MID(VLOOKUP($B146,Seqs!$A:$B,2,0),AO146,1),"")</f>
        <v>A</v>
      </c>
      <c r="AO146" s="3">
        <v>271</v>
      </c>
      <c r="AP146" s="3" t="str">
        <f>IFERROR(MID(VLOOKUP($B146,Seqs!$A:$B,2,0),AQ146,1),"")</f>
        <v>Q</v>
      </c>
      <c r="AQ146" s="3">
        <v>299</v>
      </c>
      <c r="AR146" s="3" t="str">
        <f>IFERROR(MID(VLOOKUP($B146,Seqs!$A:$B,2,0),AS146,1),"")</f>
        <v>R</v>
      </c>
      <c r="AS146" s="3">
        <v>304</v>
      </c>
      <c r="AT146" s="3" t="str">
        <f>IFERROR(MID(VLOOKUP($B146,Seqs!$A:$B,2,0),AU146,1),"")</f>
        <v>R</v>
      </c>
      <c r="AU146" s="3">
        <v>328</v>
      </c>
      <c r="AV146" s="3" t="str">
        <f>IFERROR(MID(VLOOKUP($B146,Seqs!$A:$B,2,0),AW146,1),"")</f>
        <v>S</v>
      </c>
      <c r="AW146" s="3">
        <v>329</v>
      </c>
      <c r="AX146" s="3" t="str">
        <f>IFERROR(MID(VLOOKUP($B146,Seqs!$A:$B,2,0),AY146,1),"")</f>
        <v>C</v>
      </c>
      <c r="AY146" s="3">
        <v>341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ref="BB146:BB159" si="1234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ref="BC146:BC159" si="1235">_xlfn.AGGREGATE(9,6,CH146:CS146)-_xlfn.AGGREGATE(9,6,BV146:CG146)+12</f>
        <v>237</v>
      </c>
      <c r="BD146" s="74" t="s">
        <v>23</v>
      </c>
      <c r="BE146" s="3" t="s">
        <v>1370</v>
      </c>
      <c r="BF146" s="118">
        <v>4.2</v>
      </c>
      <c r="BG146" s="49" t="s">
        <v>1277</v>
      </c>
      <c r="BH146" s="49" t="s">
        <v>1373</v>
      </c>
      <c r="BI146" s="1"/>
      <c r="BJ146" s="70" t="s">
        <v>1283</v>
      </c>
      <c r="BK146" s="57" t="s">
        <v>1283</v>
      </c>
      <c r="BL146" s="57" t="s">
        <v>1283</v>
      </c>
      <c r="BM146" s="57" t="s">
        <v>1283</v>
      </c>
      <c r="BN146" s="57" t="s">
        <v>1283</v>
      </c>
      <c r="BO146" s="57" t="s">
        <v>1283</v>
      </c>
      <c r="BP146" s="57" t="s">
        <v>1283</v>
      </c>
      <c r="BQ146" s="57" t="s">
        <v>1283</v>
      </c>
      <c r="BR146" s="57" t="s">
        <v>1283</v>
      </c>
      <c r="BS146" s="57" t="s">
        <v>1283</v>
      </c>
      <c r="BT146" s="57" t="s">
        <v>1283</v>
      </c>
      <c r="BU146" s="57" t="s">
        <v>1283</v>
      </c>
      <c r="BV146" s="70">
        <f t="shared" ref="BV146:BV159" si="1236">E146</f>
        <v>33</v>
      </c>
      <c r="BW146" s="71">
        <f t="shared" ref="BW146:BW159" si="1237">I146</f>
        <v>62</v>
      </c>
      <c r="BX146" s="72">
        <f t="shared" ref="BX146:BX159" si="1238">M146</f>
        <v>66</v>
      </c>
      <c r="BY146" s="71">
        <f t="shared" ref="BY146:BY159" si="1239">Q146</f>
        <v>98</v>
      </c>
      <c r="BZ146" s="72">
        <f t="shared" ref="BZ146:BZ159" si="1240">U146</f>
        <v>102</v>
      </c>
      <c r="CA146" s="71" t="str">
        <f t="shared" ref="CA146:CA159" si="1241">Y146</f>
        <v>-</v>
      </c>
      <c r="CB146" s="72">
        <f t="shared" ref="CB146:CB159" si="1242">AC146</f>
        <v>146</v>
      </c>
      <c r="CC146" s="71">
        <f t="shared" ref="CC146:CC159" si="1243">AG146</f>
        <v>191</v>
      </c>
      <c r="CD146" s="72">
        <f t="shared" ref="CD146:CD159" si="1244">AK146</f>
        <v>196</v>
      </c>
      <c r="CE146" s="71">
        <f t="shared" ref="CE146:CE159" si="1245">AO146</f>
        <v>271</v>
      </c>
      <c r="CF146" s="72">
        <f t="shared" ref="CF146:CF159" si="1246">AS146</f>
        <v>304</v>
      </c>
      <c r="CG146" s="71">
        <f t="shared" ref="CG146:CG159" si="1247">AW146</f>
        <v>329</v>
      </c>
      <c r="CH146" s="70">
        <f t="shared" ref="CH146:CH159" si="1248">G146</f>
        <v>61</v>
      </c>
      <c r="CI146" s="71">
        <f t="shared" ref="CI146:CI159" si="1249">K146</f>
        <v>65</v>
      </c>
      <c r="CJ146" s="72">
        <f t="shared" ref="CJ146:CJ159" si="1250">O146</f>
        <v>97</v>
      </c>
      <c r="CK146" s="72">
        <f t="shared" ref="CK146:CK159" si="1251">S146</f>
        <v>101</v>
      </c>
      <c r="CL146" s="72">
        <f t="shared" ref="CL146:CL159" si="1252">W146</f>
        <v>136</v>
      </c>
      <c r="CM146" s="72" t="str">
        <f t="shared" ref="CM146:CM159" si="1253">AA146</f>
        <v>-</v>
      </c>
      <c r="CN146" s="72">
        <f t="shared" ref="CN146:CN159" si="1254">AE146</f>
        <v>172</v>
      </c>
      <c r="CO146" s="72">
        <f t="shared" ref="CO146:CO159" si="1255">AI146</f>
        <v>193</v>
      </c>
      <c r="CP146" s="72">
        <f t="shared" ref="CP146:CP159" si="1256">AM146</f>
        <v>230</v>
      </c>
      <c r="CQ146" s="72">
        <f t="shared" ref="CQ146:CQ159" si="1257">AQ146</f>
        <v>299</v>
      </c>
      <c r="CR146" s="72">
        <f t="shared" ref="CR146:CR159" si="1258">AU146</f>
        <v>328</v>
      </c>
      <c r="CS146" s="72">
        <f t="shared" ref="CS146:CS159" si="1259">AY146</f>
        <v>341</v>
      </c>
      <c r="CT146" s="23">
        <f t="shared" ref="CT146:CT159" si="1260">M146-K146</f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 t="shared" si="1233"/>
        <v>adrb2_human_6E67</v>
      </c>
      <c r="B147" s="3" t="s">
        <v>126</v>
      </c>
      <c r="C147" s="130" t="s">
        <v>1575</v>
      </c>
      <c r="D147" s="3" t="str">
        <f>IFERROR(MID(VLOOKUP($B147,Seqs!$A:$B,2,0),E147,1),"")</f>
        <v>D</v>
      </c>
      <c r="E147" s="3">
        <v>29</v>
      </c>
      <c r="F147" s="3" t="str">
        <f>IFERROR(MID(VLOOKUP($B147,Seqs!$A:$B,2,0),G147,1),"")</f>
        <v>K</v>
      </c>
      <c r="G147" s="3">
        <v>60</v>
      </c>
      <c r="H147" s="3" t="str">
        <f>IFERROR(MID(VLOOKUP($B147,Seqs!$A:$B,2,0),I147,1),"")</f>
        <v>E</v>
      </c>
      <c r="I147" s="23">
        <v>62</v>
      </c>
      <c r="J147" s="3" t="str">
        <f>IFERROR(MID(VLOOKUP($B147,Seqs!$A:$B,2,0),K147,1),"")</f>
        <v>Q</v>
      </c>
      <c r="K147" s="23">
        <v>65</v>
      </c>
      <c r="L147" s="3" t="str">
        <f>IFERROR(MID(VLOOKUP($B147,Seqs!$A:$B,2,0),M147,1),"")</f>
        <v>T</v>
      </c>
      <c r="M147" s="3">
        <v>66</v>
      </c>
      <c r="N147" s="3" t="str">
        <f>IFERROR(MID(VLOOKUP($B147,Seqs!$A:$B,2,0),O147,1),"")</f>
        <v>K</v>
      </c>
      <c r="O147" s="3">
        <v>97</v>
      </c>
      <c r="P147" s="3" t="str">
        <f>IFERROR(MID(VLOOKUP($B147,Seqs!$A:$B,2,0),Q147,1),"")</f>
        <v>M</v>
      </c>
      <c r="Q147" s="3">
        <v>98</v>
      </c>
      <c r="R147" s="3" t="str">
        <f>IFERROR(MID(VLOOKUP($B147,Seqs!$A:$B,2,0),S147,1),"")</f>
        <v>F</v>
      </c>
      <c r="S147" s="3">
        <v>101</v>
      </c>
      <c r="T147" s="3" t="str">
        <f>IFERROR(MID(VLOOKUP($B147,Seqs!$A:$B,2,0),U147,1),"")</f>
        <v>G</v>
      </c>
      <c r="U147" s="3">
        <v>102</v>
      </c>
      <c r="V147" s="3" t="str">
        <f>IFERROR(MID(VLOOKUP($B147,Seqs!$A:$B,2,0),W147,1),"")</f>
        <v>S</v>
      </c>
      <c r="W147" s="3">
        <v>137</v>
      </c>
      <c r="X147" s="3" t="str">
        <f>IFERROR(MID(VLOOKUP($B147,Seqs!$A:$B,2,0),Y147,1),"")</f>
        <v>P</v>
      </c>
      <c r="Y147" s="3">
        <v>138</v>
      </c>
      <c r="Z147" s="3" t="str">
        <f>IFERROR(MID(VLOOKUP($B147,Seqs!$A:$B,2,0),AA147,1),"")</f>
        <v>L</v>
      </c>
      <c r="AA147" s="3">
        <v>145</v>
      </c>
      <c r="AB147" s="3" t="str">
        <f>IFERROR(MID(VLOOKUP($B147,Seqs!$A:$B,2,0),AC147,1),"")</f>
        <v>T</v>
      </c>
      <c r="AC147" s="3">
        <v>146</v>
      </c>
      <c r="AD147" s="3" t="str">
        <f>IFERROR(MID(VLOOKUP($B147,Seqs!$A:$B,2,0),AE147,1),"")</f>
        <v>H</v>
      </c>
      <c r="AE147" s="3">
        <v>172</v>
      </c>
      <c r="AF147" s="3" t="str">
        <f>IFERROR(MID(VLOOKUP($B147,Seqs!$A:$B,2,0),AG147,1),"")</f>
        <v>C</v>
      </c>
      <c r="AG147" s="3">
        <v>191</v>
      </c>
      <c r="AH147" s="3" t="str">
        <f>IFERROR(MID(VLOOKUP($B147,Seqs!$A:$B,2,0),AI147,1),"")</f>
        <v>F</v>
      </c>
      <c r="AI147" s="3">
        <v>193</v>
      </c>
      <c r="AJ147" s="3" t="str">
        <f>IFERROR(MID(VLOOKUP($B147,Seqs!$A:$B,2,0),AK147,1),"")</f>
        <v>N</v>
      </c>
      <c r="AK147" s="3">
        <v>196</v>
      </c>
      <c r="AL147" s="3" t="str">
        <f>IFERROR(MID(VLOOKUP($B147,Seqs!$A:$B,2,0),AM147,1),"")</f>
        <v>A</v>
      </c>
      <c r="AM147" s="3">
        <v>226</v>
      </c>
      <c r="AN147" s="3" t="str">
        <f>IFERROR(MID(VLOOKUP($B147,Seqs!$A:$B,2,0),AO147,1),"")</f>
        <v>E</v>
      </c>
      <c r="AO147" s="3">
        <v>268</v>
      </c>
      <c r="AP147" s="3" t="str">
        <f>IFERROR(MID(VLOOKUP($B147,Seqs!$A:$B,2,0),AQ147,1),"")</f>
        <v>Q</v>
      </c>
      <c r="AQ147" s="3">
        <v>299</v>
      </c>
      <c r="AR147" s="3" t="str">
        <f>IFERROR(MID(VLOOKUP($B147,Seqs!$A:$B,2,0),AS147,1),"")</f>
        <v>R</v>
      </c>
      <c r="AS147" s="3">
        <v>304</v>
      </c>
      <c r="AT147" s="3" t="str">
        <f>IFERROR(MID(VLOOKUP($B147,Seqs!$A:$B,2,0),AU147,1),"")</f>
        <v>P</v>
      </c>
      <c r="AU147" s="3">
        <v>323</v>
      </c>
      <c r="AV147" s="3" t="str">
        <f>IFERROR(MID(VLOOKUP($B147,Seqs!$A:$B,2,0),AW147,1),"")</f>
        <v>S</v>
      </c>
      <c r="AW147" s="3">
        <v>329</v>
      </c>
      <c r="AX147" s="3" t="str">
        <f>IFERROR(MID(VLOOKUP($B147,Seqs!$A:$B,2,0),AY147,1),"")</f>
        <v>L</v>
      </c>
      <c r="AY147" s="3">
        <v>340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234"/>
        <v>1</v>
      </c>
      <c r="BC147" s="23">
        <f t="shared" si="1235"/>
        <v>241</v>
      </c>
      <c r="BD147" s="74" t="s">
        <v>23</v>
      </c>
      <c r="BE147" s="3" t="s">
        <v>1287</v>
      </c>
      <c r="BF147" s="118">
        <v>3.7</v>
      </c>
      <c r="BG147" s="49" t="s">
        <v>1277</v>
      </c>
      <c r="BH147" s="49" t="s">
        <v>1277</v>
      </c>
      <c r="BI147" s="1"/>
      <c r="BJ147" s="70" t="s">
        <v>1283</v>
      </c>
      <c r="BK147" s="57" t="s">
        <v>1283</v>
      </c>
      <c r="BL147" s="57" t="s">
        <v>1283</v>
      </c>
      <c r="BM147" s="57" t="s">
        <v>1283</v>
      </c>
      <c r="BN147" s="57" t="s">
        <v>1283</v>
      </c>
      <c r="BO147" s="57" t="s">
        <v>1283</v>
      </c>
      <c r="BP147" s="57" t="s">
        <v>1283</v>
      </c>
      <c r="BQ147" s="57" t="s">
        <v>1283</v>
      </c>
      <c r="BR147" s="57" t="s">
        <v>1283</v>
      </c>
      <c r="BS147" s="57" t="s">
        <v>1283</v>
      </c>
      <c r="BT147" s="57" t="s">
        <v>1283</v>
      </c>
      <c r="BU147" s="57" t="s">
        <v>1283</v>
      </c>
      <c r="BV147" s="70">
        <f t="shared" si="1236"/>
        <v>29</v>
      </c>
      <c r="BW147" s="71">
        <f t="shared" si="1237"/>
        <v>62</v>
      </c>
      <c r="BX147" s="72">
        <f t="shared" si="1238"/>
        <v>66</v>
      </c>
      <c r="BY147" s="71">
        <f t="shared" si="1239"/>
        <v>98</v>
      </c>
      <c r="BZ147" s="72">
        <f t="shared" si="1240"/>
        <v>102</v>
      </c>
      <c r="CA147" s="71">
        <f t="shared" si="1241"/>
        <v>138</v>
      </c>
      <c r="CB147" s="72">
        <f t="shared" si="1242"/>
        <v>146</v>
      </c>
      <c r="CC147" s="71">
        <f t="shared" si="1243"/>
        <v>191</v>
      </c>
      <c r="CD147" s="72">
        <f t="shared" si="1244"/>
        <v>196</v>
      </c>
      <c r="CE147" s="71">
        <f t="shared" si="1245"/>
        <v>268</v>
      </c>
      <c r="CF147" s="72">
        <f t="shared" si="1246"/>
        <v>304</v>
      </c>
      <c r="CG147" s="71">
        <f t="shared" si="1247"/>
        <v>329</v>
      </c>
      <c r="CH147" s="70">
        <f t="shared" si="1248"/>
        <v>60</v>
      </c>
      <c r="CI147" s="71">
        <f t="shared" si="1249"/>
        <v>65</v>
      </c>
      <c r="CJ147" s="72">
        <f t="shared" si="1250"/>
        <v>97</v>
      </c>
      <c r="CK147" s="72">
        <f t="shared" si="1251"/>
        <v>101</v>
      </c>
      <c r="CL147" s="72">
        <f t="shared" si="1252"/>
        <v>137</v>
      </c>
      <c r="CM147" s="72">
        <f t="shared" si="1253"/>
        <v>145</v>
      </c>
      <c r="CN147" s="72">
        <f t="shared" si="1254"/>
        <v>172</v>
      </c>
      <c r="CO147" s="72">
        <f t="shared" si="1255"/>
        <v>193</v>
      </c>
      <c r="CP147" s="72">
        <f t="shared" si="1256"/>
        <v>226</v>
      </c>
      <c r="CQ147" s="72">
        <f t="shared" si="1257"/>
        <v>299</v>
      </c>
      <c r="CR147" s="72">
        <f t="shared" si="1258"/>
        <v>323</v>
      </c>
      <c r="CS147" s="72">
        <f t="shared" si="1259"/>
        <v>340</v>
      </c>
      <c r="CT147" s="23">
        <f t="shared" si="126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 t="shared" si="1233"/>
        <v>adrb2_human_6MXT</v>
      </c>
      <c r="B148" s="3" t="s">
        <v>126</v>
      </c>
      <c r="C148" s="3" t="s">
        <v>1522</v>
      </c>
      <c r="D148" s="3" t="str">
        <f>IFERROR(MID(VLOOKUP($B148,Seqs!$A:$B,2,0),E148,1),"")</f>
        <v/>
      </c>
      <c r="E148" s="3">
        <v>1029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1096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3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1232</v>
      </c>
      <c r="AN148" s="3" t="str">
        <f>IFERROR(MID(VLOOKUP($B148,Seqs!$A:$B,2,0),AO148,1),"")</f>
        <v/>
      </c>
      <c r="AO148" s="3">
        <v>1265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1323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1342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234"/>
        <v>1</v>
      </c>
      <c r="BC148" s="23">
        <f t="shared" si="1235"/>
        <v>252</v>
      </c>
      <c r="BD148" s="74" t="s">
        <v>23</v>
      </c>
      <c r="BE148" s="3" t="s">
        <v>1287</v>
      </c>
      <c r="BF148" s="118">
        <v>2.96</v>
      </c>
      <c r="BG148" s="49" t="s">
        <v>1</v>
      </c>
      <c r="BH148" s="49" t="s">
        <v>1</v>
      </c>
      <c r="BI148" s="1"/>
      <c r="BJ148" s="70" t="s">
        <v>1283</v>
      </c>
      <c r="BK148" s="57" t="s">
        <v>1283</v>
      </c>
      <c r="BL148" s="57" t="s">
        <v>1283</v>
      </c>
      <c r="BM148" s="57" t="s">
        <v>1283</v>
      </c>
      <c r="BN148" s="57" t="s">
        <v>1283</v>
      </c>
      <c r="BO148" s="57" t="s">
        <v>1283</v>
      </c>
      <c r="BP148" s="57" t="s">
        <v>1283</v>
      </c>
      <c r="BQ148" s="57" t="s">
        <v>1283</v>
      </c>
      <c r="BR148" s="57" t="s">
        <v>1283</v>
      </c>
      <c r="BS148" s="57" t="s">
        <v>1283</v>
      </c>
      <c r="BT148" s="57" t="s">
        <v>1283</v>
      </c>
      <c r="BU148" s="57" t="s">
        <v>1283</v>
      </c>
      <c r="BV148" s="70">
        <f t="shared" si="1236"/>
        <v>1029</v>
      </c>
      <c r="BW148" s="71">
        <f t="shared" si="1237"/>
        <v>1062</v>
      </c>
      <c r="BX148" s="72">
        <f t="shared" si="1238"/>
        <v>1066</v>
      </c>
      <c r="BY148" s="71">
        <f t="shared" si="1239"/>
        <v>1098</v>
      </c>
      <c r="BZ148" s="72">
        <f t="shared" si="1240"/>
        <v>1102</v>
      </c>
      <c r="CA148" s="71">
        <f t="shared" si="1241"/>
        <v>1138</v>
      </c>
      <c r="CB148" s="72">
        <f t="shared" si="1242"/>
        <v>1146</v>
      </c>
      <c r="CC148" s="71">
        <f t="shared" si="1243"/>
        <v>1191</v>
      </c>
      <c r="CD148" s="72">
        <f t="shared" si="1244"/>
        <v>1196</v>
      </c>
      <c r="CE148" s="71">
        <f t="shared" si="1245"/>
        <v>1265</v>
      </c>
      <c r="CF148" s="72">
        <f t="shared" si="1246"/>
        <v>1304</v>
      </c>
      <c r="CG148" s="71">
        <f t="shared" si="1247"/>
        <v>1329</v>
      </c>
      <c r="CH148" s="70">
        <f t="shared" si="1248"/>
        <v>1061</v>
      </c>
      <c r="CI148" s="71">
        <f t="shared" si="1249"/>
        <v>1065</v>
      </c>
      <c r="CJ148" s="72">
        <f t="shared" si="1250"/>
        <v>1096</v>
      </c>
      <c r="CK148" s="72">
        <f t="shared" si="1251"/>
        <v>1101</v>
      </c>
      <c r="CL148" s="72">
        <f t="shared" si="1252"/>
        <v>1137</v>
      </c>
      <c r="CM148" s="72">
        <f t="shared" si="1253"/>
        <v>1145</v>
      </c>
      <c r="CN148" s="72">
        <f t="shared" si="1254"/>
        <v>1172</v>
      </c>
      <c r="CO148" s="72">
        <f t="shared" si="1255"/>
        <v>1193</v>
      </c>
      <c r="CP148" s="72">
        <f t="shared" si="1256"/>
        <v>1232</v>
      </c>
      <c r="CQ148" s="72">
        <f t="shared" si="1257"/>
        <v>1299</v>
      </c>
      <c r="CR148" s="72">
        <f t="shared" si="1258"/>
        <v>1323</v>
      </c>
      <c r="CS148" s="72">
        <f t="shared" si="1259"/>
        <v>1342</v>
      </c>
      <c r="CT148" s="23">
        <f t="shared" si="1260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 t="shared" si="1233"/>
        <v>adrb2_human_6N48</v>
      </c>
      <c r="B149" s="3" t="s">
        <v>126</v>
      </c>
      <c r="C149" s="3" t="s">
        <v>1577</v>
      </c>
      <c r="D149" s="3" t="str">
        <f>IFERROR(MID(VLOOKUP($B149,Seqs!$A:$B,2,0),E149,1),"")</f>
        <v/>
      </c>
      <c r="E149" s="3">
        <v>1026</v>
      </c>
      <c r="F149" s="3" t="str">
        <f>IFERROR(MID(VLOOKUP($B149,Seqs!$A:$B,2,0),G149,1),"")</f>
        <v/>
      </c>
      <c r="G149" s="3">
        <v>1061</v>
      </c>
      <c r="H149" s="3" t="str">
        <f>IFERROR(MID(VLOOKUP($B149,Seqs!$A:$B,2,0),I149,1),"")</f>
        <v/>
      </c>
      <c r="I149" s="23">
        <v>1062</v>
      </c>
      <c r="J149" s="3" t="str">
        <f>IFERROR(MID(VLOOKUP($B149,Seqs!$A:$B,2,0),K149,1),"")</f>
        <v/>
      </c>
      <c r="K149" s="23">
        <v>1065</v>
      </c>
      <c r="L149" s="3" t="str">
        <f>IFERROR(MID(VLOOKUP($B149,Seqs!$A:$B,2,0),M149,1),"")</f>
        <v/>
      </c>
      <c r="M149" s="3">
        <v>1066</v>
      </c>
      <c r="N149" s="3" t="str">
        <f>IFERROR(MID(VLOOKUP($B149,Seqs!$A:$B,2,0),O149,1),"")</f>
        <v/>
      </c>
      <c r="O149" s="3">
        <v>1097</v>
      </c>
      <c r="P149" s="3" t="str">
        <f>IFERROR(MID(VLOOKUP($B149,Seqs!$A:$B,2,0),Q149,1),"")</f>
        <v/>
      </c>
      <c r="Q149" s="3">
        <v>1098</v>
      </c>
      <c r="R149" s="3" t="str">
        <f>IFERROR(MID(VLOOKUP($B149,Seqs!$A:$B,2,0),S149,1),"")</f>
        <v/>
      </c>
      <c r="S149" s="3">
        <v>1101</v>
      </c>
      <c r="T149" s="3" t="str">
        <f>IFERROR(MID(VLOOKUP($B149,Seqs!$A:$B,2,0),U149,1),"")</f>
        <v/>
      </c>
      <c r="U149" s="3">
        <v>1102</v>
      </c>
      <c r="V149" s="3" t="str">
        <f>IFERROR(MID(VLOOKUP($B149,Seqs!$A:$B,2,0),W149,1),"")</f>
        <v/>
      </c>
      <c r="W149" s="3">
        <v>1137</v>
      </c>
      <c r="X149" s="3" t="str">
        <f>IFERROR(MID(VLOOKUP($B149,Seqs!$A:$B,2,0),Y149,1),"")</f>
        <v/>
      </c>
      <c r="Y149" s="3">
        <v>1138</v>
      </c>
      <c r="Z149" s="3" t="str">
        <f>IFERROR(MID(VLOOKUP($B149,Seqs!$A:$B,2,0),AA149,1),"")</f>
        <v/>
      </c>
      <c r="AA149" s="3">
        <v>1145</v>
      </c>
      <c r="AB149" s="3" t="str">
        <f>IFERROR(MID(VLOOKUP($B149,Seqs!$A:$B,2,0),AC149,1),"")</f>
        <v/>
      </c>
      <c r="AC149" s="3">
        <v>1146</v>
      </c>
      <c r="AD149" s="3" t="str">
        <f>IFERROR(MID(VLOOKUP($B149,Seqs!$A:$B,2,0),AE149,1),"")</f>
        <v/>
      </c>
      <c r="AE149" s="3">
        <v>1172</v>
      </c>
      <c r="AF149" s="3" t="str">
        <f>IFERROR(MID(VLOOKUP($B149,Seqs!$A:$B,2,0),AG149,1),"")</f>
        <v/>
      </c>
      <c r="AG149" s="3">
        <v>1191</v>
      </c>
      <c r="AH149" s="3" t="str">
        <f>IFERROR(MID(VLOOKUP($B149,Seqs!$A:$B,2,0),AI149,1),"")</f>
        <v/>
      </c>
      <c r="AI149" s="3">
        <v>1193</v>
      </c>
      <c r="AJ149" s="3" t="str">
        <f>IFERROR(MID(VLOOKUP($B149,Seqs!$A:$B,2,0),AK149,1),"")</f>
        <v/>
      </c>
      <c r="AK149" s="3">
        <v>1196</v>
      </c>
      <c r="AL149" s="3" t="str">
        <f>IFERROR(MID(VLOOKUP($B149,Seqs!$A:$B,2,0),AM149,1),"")</f>
        <v/>
      </c>
      <c r="AM149" s="3">
        <v>1226</v>
      </c>
      <c r="AN149" s="3" t="str">
        <f>IFERROR(MID(VLOOKUP($B149,Seqs!$A:$B,2,0),AO149,1),"")</f>
        <v/>
      </c>
      <c r="AO149" s="3">
        <v>1265</v>
      </c>
      <c r="AP149" s="3" t="str">
        <f>IFERROR(MID(VLOOKUP($B149,Seqs!$A:$B,2,0),AQ149,1),"")</f>
        <v/>
      </c>
      <c r="AQ149" s="3">
        <v>1299</v>
      </c>
      <c r="AR149" s="3" t="str">
        <f>IFERROR(MID(VLOOKUP($B149,Seqs!$A:$B,2,0),AS149,1),"")</f>
        <v/>
      </c>
      <c r="AS149" s="3">
        <v>1304</v>
      </c>
      <c r="AT149" s="3" t="str">
        <f>IFERROR(MID(VLOOKUP($B149,Seqs!$A:$B,2,0),AU149,1),"")</f>
        <v/>
      </c>
      <c r="AU149" s="3">
        <v>1322</v>
      </c>
      <c r="AV149" s="3" t="str">
        <f>IFERROR(MID(VLOOKUP($B149,Seqs!$A:$B,2,0),AW149,1),"")</f>
        <v/>
      </c>
      <c r="AW149" s="3">
        <v>1329</v>
      </c>
      <c r="AX149" s="3" t="str">
        <f>IFERROR(MID(VLOOKUP($B149,Seqs!$A:$B,2,0),AY149,1),"")</f>
        <v/>
      </c>
      <c r="AY149" s="3">
        <v>1340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si="1234"/>
        <v>1</v>
      </c>
      <c r="BC149" s="23">
        <f t="shared" si="1235"/>
        <v>247</v>
      </c>
      <c r="BD149" s="74" t="s">
        <v>23</v>
      </c>
      <c r="BE149" s="3" t="s">
        <v>1287</v>
      </c>
      <c r="BF149" s="118">
        <v>3.2</v>
      </c>
      <c r="BG149" s="49" t="s">
        <v>1</v>
      </c>
      <c r="BH149" s="49" t="s">
        <v>1</v>
      </c>
      <c r="BI149" s="1"/>
      <c r="BJ149" s="70" t="s">
        <v>1283</v>
      </c>
      <c r="BK149" s="57" t="s">
        <v>1283</v>
      </c>
      <c r="BL149" s="57" t="s">
        <v>1283</v>
      </c>
      <c r="BM149" s="57" t="s">
        <v>1283</v>
      </c>
      <c r="BN149" s="57" t="s">
        <v>1283</v>
      </c>
      <c r="BO149" s="57" t="s">
        <v>1283</v>
      </c>
      <c r="BP149" s="57" t="s">
        <v>1283</v>
      </c>
      <c r="BQ149" s="57" t="s">
        <v>1283</v>
      </c>
      <c r="BR149" s="57" t="s">
        <v>1283</v>
      </c>
      <c r="BS149" s="57" t="s">
        <v>1283</v>
      </c>
      <c r="BT149" s="57" t="s">
        <v>1283</v>
      </c>
      <c r="BU149" s="57" t="s">
        <v>1283</v>
      </c>
      <c r="BV149" s="70">
        <f t="shared" si="1236"/>
        <v>1026</v>
      </c>
      <c r="BW149" s="71">
        <f t="shared" si="1237"/>
        <v>1062</v>
      </c>
      <c r="BX149" s="72">
        <f t="shared" si="1238"/>
        <v>1066</v>
      </c>
      <c r="BY149" s="71">
        <f t="shared" si="1239"/>
        <v>1098</v>
      </c>
      <c r="BZ149" s="72">
        <f t="shared" si="1240"/>
        <v>1102</v>
      </c>
      <c r="CA149" s="71">
        <f t="shared" si="1241"/>
        <v>1138</v>
      </c>
      <c r="CB149" s="72">
        <f t="shared" si="1242"/>
        <v>1146</v>
      </c>
      <c r="CC149" s="71">
        <f t="shared" si="1243"/>
        <v>1191</v>
      </c>
      <c r="CD149" s="72">
        <f t="shared" si="1244"/>
        <v>1196</v>
      </c>
      <c r="CE149" s="71">
        <f t="shared" si="1245"/>
        <v>1265</v>
      </c>
      <c r="CF149" s="72">
        <f t="shared" si="1246"/>
        <v>1304</v>
      </c>
      <c r="CG149" s="71">
        <f t="shared" si="1247"/>
        <v>1329</v>
      </c>
      <c r="CH149" s="70">
        <f t="shared" si="1248"/>
        <v>1061</v>
      </c>
      <c r="CI149" s="71">
        <f t="shared" si="1249"/>
        <v>1065</v>
      </c>
      <c r="CJ149" s="72">
        <f t="shared" si="1250"/>
        <v>1097</v>
      </c>
      <c r="CK149" s="72">
        <f t="shared" si="1251"/>
        <v>1101</v>
      </c>
      <c r="CL149" s="72">
        <f t="shared" si="1252"/>
        <v>1137</v>
      </c>
      <c r="CM149" s="72">
        <f t="shared" si="1253"/>
        <v>1145</v>
      </c>
      <c r="CN149" s="72">
        <f t="shared" si="1254"/>
        <v>1172</v>
      </c>
      <c r="CO149" s="72">
        <f t="shared" si="1255"/>
        <v>1193</v>
      </c>
      <c r="CP149" s="72">
        <f t="shared" si="1256"/>
        <v>1226</v>
      </c>
      <c r="CQ149" s="72">
        <f t="shared" si="1257"/>
        <v>1299</v>
      </c>
      <c r="CR149" s="72">
        <f t="shared" si="1258"/>
        <v>1322</v>
      </c>
      <c r="CS149" s="72">
        <f t="shared" si="1259"/>
        <v>1340</v>
      </c>
      <c r="CT149" s="23">
        <f t="shared" si="1260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>CONCATENATE(B150,"_",C150)</f>
        <v>adrb2_human_6OBA</v>
      </c>
      <c r="B150" s="3" t="s">
        <v>126</v>
      </c>
      <c r="C150" s="3" t="s">
        <v>1654</v>
      </c>
      <c r="D150" s="3" t="str">
        <f>IFERROR(MID(VLOOKUP($B150,Seqs!$A:$B,2,0),E150,1),"")</f>
        <v>W</v>
      </c>
      <c r="E150" s="3">
        <v>32</v>
      </c>
      <c r="F150" s="3" t="str">
        <f>IFERROR(MID(VLOOKUP($B150,Seqs!$A:$B,2,0),G150,1),"")</f>
        <v>F</v>
      </c>
      <c r="G150" s="3">
        <v>61</v>
      </c>
      <c r="H150" s="3" t="str">
        <f>IFERROR(MID(VLOOKUP($B150,Seqs!$A:$B,2,0),I150,1),"")</f>
        <v>E</v>
      </c>
      <c r="I150" s="23">
        <v>62</v>
      </c>
      <c r="J150" s="3" t="str">
        <f>IFERROR(MID(VLOOKUP($B150,Seqs!$A:$B,2,0),K150,1),"")</f>
        <v>Q</v>
      </c>
      <c r="K150" s="23">
        <v>65</v>
      </c>
      <c r="L150" s="3" t="str">
        <f>IFERROR(MID(VLOOKUP($B150,Seqs!$A:$B,2,0),M150,1),"")</f>
        <v>T</v>
      </c>
      <c r="M150" s="3">
        <v>66</v>
      </c>
      <c r="N150" s="3" t="str">
        <f>IFERROR(MID(VLOOKUP($B150,Seqs!$A:$B,2,0),O150,1),"")</f>
        <v>K</v>
      </c>
      <c r="O150" s="3">
        <v>97</v>
      </c>
      <c r="P150" s="3" t="str">
        <f>IFERROR(MID(VLOOKUP($B150,Seqs!$A:$B,2,0),Q150,1),"")</f>
        <v>M</v>
      </c>
      <c r="Q150" s="3">
        <v>98</v>
      </c>
      <c r="R150" s="3" t="str">
        <f>IFERROR(MID(VLOOKUP($B150,Seqs!$A:$B,2,0),S150,1),"")</f>
        <v>F</v>
      </c>
      <c r="S150" s="3">
        <v>101</v>
      </c>
      <c r="T150" s="3" t="str">
        <f>IFERROR(MID(VLOOKUP($B150,Seqs!$A:$B,2,0),U150,1),"")</f>
        <v>G</v>
      </c>
      <c r="U150" s="3">
        <v>102</v>
      </c>
      <c r="V150" s="3" t="str">
        <f>IFERROR(MID(VLOOKUP($B150,Seqs!$A:$B,2,0),W150,1),"")</f>
        <v>S</v>
      </c>
      <c r="W150" s="3">
        <v>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3">
        <v>146</v>
      </c>
      <c r="AD150" s="3" t="str">
        <f>IFERROR(MID(VLOOKUP($B150,Seqs!$A:$B,2,0),AE150,1),"")</f>
        <v>H</v>
      </c>
      <c r="AE150" s="3">
        <v>172</v>
      </c>
      <c r="AF150" s="3" t="str">
        <f>IFERROR(MID(VLOOKUP($B150,Seqs!$A:$B,2,0),AG150,1),"")</f>
        <v>C</v>
      </c>
      <c r="AG150" s="3">
        <v>191</v>
      </c>
      <c r="AH150" s="3" t="str">
        <f>IFERROR(MID(VLOOKUP($B150,Seqs!$A:$B,2,0),AI150,1),"")</f>
        <v>F</v>
      </c>
      <c r="AI150" s="3">
        <v>193</v>
      </c>
      <c r="AJ150" s="3" t="str">
        <f>IFERROR(MID(VLOOKUP($B150,Seqs!$A:$B,2,0),AK150,1),"")</f>
        <v>N</v>
      </c>
      <c r="AK150" s="3">
        <v>196</v>
      </c>
      <c r="AL150" s="3" t="str">
        <f>IFERROR(MID(VLOOKUP($B150,Seqs!$A:$B,2,0),AM150,1),"")</f>
        <v>Q</v>
      </c>
      <c r="AM150" s="3">
        <v>229</v>
      </c>
      <c r="AN150" s="3" t="str">
        <f>IFERROR(MID(VLOOKUP($B150,Seqs!$A:$B,2,0),AO150,1),"")</f>
        <v>L</v>
      </c>
      <c r="AO150" s="3">
        <v>266</v>
      </c>
      <c r="AP150" s="3" t="str">
        <f>IFERROR(MID(VLOOKUP($B150,Seqs!$A:$B,2,0),AQ150,1),"")</f>
        <v>D</v>
      </c>
      <c r="AQ150" s="3">
        <v>300</v>
      </c>
      <c r="AR150" s="3" t="str">
        <f>IFERROR(MID(VLOOKUP($B150,Seqs!$A:$B,2,0),AS150,1),"")</f>
        <v>R</v>
      </c>
      <c r="AS150" s="3">
        <v>304</v>
      </c>
      <c r="AT150" s="3" t="str">
        <f>IFERROR(MID(VLOOKUP($B150,Seqs!$A:$B,2,0),AU150,1),"")</f>
        <v>R</v>
      </c>
      <c r="AU150" s="3">
        <v>328</v>
      </c>
      <c r="AV150" s="3" t="str">
        <f>IFERROR(MID(VLOOKUP($B150,Seqs!$A:$B,2,0),AW150,1),"")</f>
        <v>S</v>
      </c>
      <c r="AW150" s="3">
        <v>329</v>
      </c>
      <c r="AX150" s="3" t="str">
        <f>IFERROR(MID(VLOOKUP($B150,Seqs!$A:$B,2,0),AY150,1),"")</f>
        <v>C</v>
      </c>
      <c r="AY150" s="3">
        <v>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ref="BB150" si="1261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" si="1262">_xlfn.AGGREGATE(9,6,CH150:CS150)-_xlfn.AGGREGATE(9,6,BV150:CG150)+12</f>
        <v>244</v>
      </c>
      <c r="BD150" s="74" t="s">
        <v>23</v>
      </c>
      <c r="BE150" s="3" t="s">
        <v>1370</v>
      </c>
      <c r="BF150" s="118">
        <v>3.1</v>
      </c>
      <c r="BG150" s="49" t="s">
        <v>1</v>
      </c>
      <c r="BH150" s="49" t="s">
        <v>1</v>
      </c>
      <c r="BI150" s="1"/>
      <c r="BJ150" s="70" t="s">
        <v>1283</v>
      </c>
      <c r="BK150" s="57" t="s">
        <v>1283</v>
      </c>
      <c r="BL150" s="57" t="s">
        <v>1283</v>
      </c>
      <c r="BM150" s="57" t="s">
        <v>1283</v>
      </c>
      <c r="BN150" s="57" t="s">
        <v>1283</v>
      </c>
      <c r="BO150" s="57" t="s">
        <v>1283</v>
      </c>
      <c r="BP150" s="57" t="s">
        <v>1283</v>
      </c>
      <c r="BQ150" s="57" t="s">
        <v>1283</v>
      </c>
      <c r="BR150" s="57" t="s">
        <v>1283</v>
      </c>
      <c r="BS150" s="57" t="s">
        <v>1283</v>
      </c>
      <c r="BT150" s="57" t="s">
        <v>1283</v>
      </c>
      <c r="BU150" s="57" t="s">
        <v>1283</v>
      </c>
      <c r="BV150" s="70">
        <f t="shared" ref="BV150" si="1263">E150</f>
        <v>32</v>
      </c>
      <c r="BW150" s="71">
        <f t="shared" ref="BW150" si="1264">I150</f>
        <v>62</v>
      </c>
      <c r="BX150" s="72">
        <f t="shared" ref="BX150" si="1265">M150</f>
        <v>66</v>
      </c>
      <c r="BY150" s="71">
        <f t="shared" ref="BY150" si="1266">Q150</f>
        <v>98</v>
      </c>
      <c r="BZ150" s="72">
        <f t="shared" ref="BZ150" si="1267">U150</f>
        <v>102</v>
      </c>
      <c r="CA150" s="71" t="str">
        <f t="shared" ref="CA150" si="1268">Y150</f>
        <v>-</v>
      </c>
      <c r="CB150" s="72">
        <f t="shared" ref="CB150" si="1269">AC150</f>
        <v>146</v>
      </c>
      <c r="CC150" s="71">
        <f t="shared" ref="CC150" si="1270">AG150</f>
        <v>191</v>
      </c>
      <c r="CD150" s="72">
        <f t="shared" ref="CD150" si="1271">AK150</f>
        <v>196</v>
      </c>
      <c r="CE150" s="71">
        <f t="shared" ref="CE150" si="1272">AO150</f>
        <v>266</v>
      </c>
      <c r="CF150" s="72">
        <f t="shared" ref="CF150" si="1273">AS150</f>
        <v>304</v>
      </c>
      <c r="CG150" s="71">
        <f t="shared" ref="CG150" si="1274">AW150</f>
        <v>329</v>
      </c>
      <c r="CH150" s="70">
        <f t="shared" ref="CH150" si="1275">G150</f>
        <v>61</v>
      </c>
      <c r="CI150" s="71">
        <f t="shared" ref="CI150" si="1276">K150</f>
        <v>65</v>
      </c>
      <c r="CJ150" s="72">
        <f t="shared" ref="CJ150" si="1277">O150</f>
        <v>97</v>
      </c>
      <c r="CK150" s="72">
        <f t="shared" ref="CK150" si="1278">S150</f>
        <v>101</v>
      </c>
      <c r="CL150" s="72">
        <f t="shared" ref="CL150" si="1279">W150</f>
        <v>137</v>
      </c>
      <c r="CM150" s="72" t="str">
        <f t="shared" ref="CM150" si="1280">AA150</f>
        <v>-</v>
      </c>
      <c r="CN150" s="72">
        <f t="shared" ref="CN150" si="1281">AE150</f>
        <v>172</v>
      </c>
      <c r="CO150" s="72">
        <f t="shared" ref="CO150" si="1282">AI150</f>
        <v>193</v>
      </c>
      <c r="CP150" s="72">
        <f t="shared" ref="CP150" si="1283">AM150</f>
        <v>229</v>
      </c>
      <c r="CQ150" s="72">
        <f t="shared" ref="CQ150" si="1284">AQ150</f>
        <v>300</v>
      </c>
      <c r="CR150" s="72">
        <f t="shared" ref="CR150" si="1285">AU150</f>
        <v>328</v>
      </c>
      <c r="CS150" s="72">
        <f t="shared" ref="CS150" si="1286">AY150</f>
        <v>341</v>
      </c>
      <c r="CT150" s="23">
        <f t="shared" ref="CT150" si="1287">M150-K150</f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233"/>
        <v>adrb2_human_6PRZ</v>
      </c>
      <c r="B151" s="3" t="s">
        <v>126</v>
      </c>
      <c r="C151" s="3" t="s">
        <v>1603</v>
      </c>
      <c r="D151" s="3" t="str">
        <f>IFERROR(MID(VLOOKUP($B151,Seqs!$A:$B,2,0),E151,1),"")</f>
        <v>V</v>
      </c>
      <c r="E151" s="3">
        <v>31</v>
      </c>
      <c r="F151" s="3" t="str">
        <f>IFERROR(MID(VLOOKUP($B151,Seqs!$A:$B,2,0),G151,1),"")</f>
        <v>F</v>
      </c>
      <c r="G151" s="3">
        <v>61</v>
      </c>
      <c r="H151" s="3" t="str">
        <f>IFERROR(MID(VLOOKUP($B151,Seqs!$A:$B,2,0),I151,1),"")</f>
        <v>E</v>
      </c>
      <c r="I151" s="23">
        <v>62</v>
      </c>
      <c r="J151" s="3" t="str">
        <f>IFERROR(MID(VLOOKUP($B151,Seqs!$A:$B,2,0),K151,1),"")</f>
        <v>Q</v>
      </c>
      <c r="K151" s="23">
        <v>65</v>
      </c>
      <c r="L151" s="3" t="str">
        <f>IFERROR(MID(VLOOKUP($B151,Seqs!$A:$B,2,0),M151,1),"")</f>
        <v>T</v>
      </c>
      <c r="M151" s="3">
        <v>66</v>
      </c>
      <c r="N151" s="3" t="str">
        <f>IFERROR(MID(VLOOKUP($B151,Seqs!$A:$B,2,0),O151,1),"")</f>
        <v>K</v>
      </c>
      <c r="O151" s="3">
        <v>97</v>
      </c>
      <c r="P151" s="3" t="str">
        <f>IFERROR(MID(VLOOKUP($B151,Seqs!$A:$B,2,0),Q151,1),"")</f>
        <v>M</v>
      </c>
      <c r="Q151" s="3">
        <v>98</v>
      </c>
      <c r="R151" s="3" t="str">
        <f>IFERROR(MID(VLOOKUP($B151,Seqs!$A:$B,2,0),S151,1),"")</f>
        <v>F</v>
      </c>
      <c r="S151" s="3">
        <v>101</v>
      </c>
      <c r="T151" s="3" t="str">
        <f>IFERROR(MID(VLOOKUP($B151,Seqs!$A:$B,2,0),U151,1),"")</f>
        <v>G</v>
      </c>
      <c r="U151" s="3">
        <v>102</v>
      </c>
      <c r="V151" s="3" t="str">
        <f>IFERROR(MID(VLOOKUP($B151,Seqs!$A:$B,2,0),W151,1),"")</f>
        <v>S</v>
      </c>
      <c r="W151" s="3">
        <v>137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3">
        <v>146</v>
      </c>
      <c r="AD151" s="3" t="str">
        <f>IFERROR(MID(VLOOKUP($B151,Seqs!$A:$B,2,0),AE151,1),"")</f>
        <v>H</v>
      </c>
      <c r="AE151" s="3">
        <v>172</v>
      </c>
      <c r="AF151" s="3" t="str">
        <f>IFERROR(MID(VLOOKUP($B151,Seqs!$A:$B,2,0),AG151,1),"")</f>
        <v>C</v>
      </c>
      <c r="AG151" s="3">
        <v>191</v>
      </c>
      <c r="AH151" s="3" t="str">
        <f>IFERROR(MID(VLOOKUP($B151,Seqs!$A:$B,2,0),AI151,1),"")</f>
        <v>F</v>
      </c>
      <c r="AI151" s="3">
        <v>193</v>
      </c>
      <c r="AJ151" s="3" t="str">
        <f>IFERROR(MID(VLOOKUP($B151,Seqs!$A:$B,2,0),AK151,1),"")</f>
        <v>N</v>
      </c>
      <c r="AK151" s="3">
        <v>196</v>
      </c>
      <c r="AL151" s="3" t="str">
        <f>IFERROR(MID(VLOOKUP($B151,Seqs!$A:$B,2,0),AM151,1),"")</f>
        <v>L</v>
      </c>
      <c r="AM151" s="3">
        <v>230</v>
      </c>
      <c r="AN151" s="3" t="str">
        <f>IFERROR(MID(VLOOKUP($B151,Seqs!$A:$B,2,0),AO151,1),"")</f>
        <v>L</v>
      </c>
      <c r="AO151" s="3">
        <v>266</v>
      </c>
      <c r="AP151" s="3" t="str">
        <f>IFERROR(MID(VLOOKUP($B151,Seqs!$A:$B,2,0),AQ151,1),"")</f>
        <v>Q</v>
      </c>
      <c r="AQ151" s="3">
        <v>299</v>
      </c>
      <c r="AR151" s="3" t="str">
        <f>IFERROR(MID(VLOOKUP($B151,Seqs!$A:$B,2,0),AS151,1),"")</f>
        <v>K</v>
      </c>
      <c r="AS151" s="3">
        <v>305</v>
      </c>
      <c r="AT151" s="3" t="str">
        <f>IFERROR(MID(VLOOKUP($B151,Seqs!$A:$B,2,0),AU151,1),"")</f>
        <v>R</v>
      </c>
      <c r="AU151" s="3">
        <v>328</v>
      </c>
      <c r="AV151" s="3" t="str">
        <f>IFERROR(MID(VLOOKUP($B151,Seqs!$A:$B,2,0),AW151,1),"")</f>
        <v>S</v>
      </c>
      <c r="AW151" s="3">
        <v>329</v>
      </c>
      <c r="AX151" s="3" t="str">
        <f>IFERROR(MID(VLOOKUP($B151,Seqs!$A:$B,2,0),AY151,1),"")</f>
        <v>C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si="1234"/>
        <v>1</v>
      </c>
      <c r="BC151" s="23">
        <f t="shared" si="1235"/>
        <v>244</v>
      </c>
      <c r="BD151" s="74" t="s">
        <v>23</v>
      </c>
      <c r="BE151" s="3" t="s">
        <v>1370</v>
      </c>
      <c r="BF151" s="118">
        <v>2.8</v>
      </c>
      <c r="BG151" s="49" t="s">
        <v>1</v>
      </c>
      <c r="BH151" s="49" t="s">
        <v>1</v>
      </c>
      <c r="BI151" s="1"/>
      <c r="BJ151" s="70" t="s">
        <v>1283</v>
      </c>
      <c r="BK151" s="57" t="s">
        <v>1283</v>
      </c>
      <c r="BL151" s="57" t="s">
        <v>1283</v>
      </c>
      <c r="BM151" s="57" t="s">
        <v>1283</v>
      </c>
      <c r="BN151" s="57" t="s">
        <v>1283</v>
      </c>
      <c r="BO151" s="57" t="s">
        <v>1283</v>
      </c>
      <c r="BP151" s="57" t="s">
        <v>1283</v>
      </c>
      <c r="BQ151" s="57" t="s">
        <v>1283</v>
      </c>
      <c r="BR151" s="57" t="s">
        <v>1283</v>
      </c>
      <c r="BS151" s="57" t="s">
        <v>1283</v>
      </c>
      <c r="BT151" s="57" t="s">
        <v>1283</v>
      </c>
      <c r="BU151" s="57" t="s">
        <v>1283</v>
      </c>
      <c r="BV151" s="70">
        <f t="shared" si="1236"/>
        <v>31</v>
      </c>
      <c r="BW151" s="71">
        <f t="shared" si="1237"/>
        <v>62</v>
      </c>
      <c r="BX151" s="72">
        <f t="shared" si="1238"/>
        <v>66</v>
      </c>
      <c r="BY151" s="71">
        <f t="shared" si="1239"/>
        <v>98</v>
      </c>
      <c r="BZ151" s="72">
        <f t="shared" si="1240"/>
        <v>102</v>
      </c>
      <c r="CA151" s="71" t="str">
        <f t="shared" si="1241"/>
        <v>-</v>
      </c>
      <c r="CB151" s="72">
        <f t="shared" si="1242"/>
        <v>146</v>
      </c>
      <c r="CC151" s="71">
        <f t="shared" si="1243"/>
        <v>191</v>
      </c>
      <c r="CD151" s="72">
        <f t="shared" si="1244"/>
        <v>196</v>
      </c>
      <c r="CE151" s="71">
        <f t="shared" si="1245"/>
        <v>266</v>
      </c>
      <c r="CF151" s="72">
        <f t="shared" si="1246"/>
        <v>305</v>
      </c>
      <c r="CG151" s="71">
        <f t="shared" si="1247"/>
        <v>329</v>
      </c>
      <c r="CH151" s="70">
        <f t="shared" si="1248"/>
        <v>61</v>
      </c>
      <c r="CI151" s="71">
        <f t="shared" si="1249"/>
        <v>65</v>
      </c>
      <c r="CJ151" s="72">
        <f t="shared" si="1250"/>
        <v>97</v>
      </c>
      <c r="CK151" s="72">
        <f t="shared" si="1251"/>
        <v>101</v>
      </c>
      <c r="CL151" s="72">
        <f t="shared" si="1252"/>
        <v>137</v>
      </c>
      <c r="CM151" s="72" t="str">
        <f t="shared" si="1253"/>
        <v>-</v>
      </c>
      <c r="CN151" s="72">
        <f t="shared" si="1254"/>
        <v>172</v>
      </c>
      <c r="CO151" s="72">
        <f t="shared" si="1255"/>
        <v>193</v>
      </c>
      <c r="CP151" s="72">
        <f t="shared" si="1256"/>
        <v>230</v>
      </c>
      <c r="CQ151" s="72">
        <f t="shared" si="1257"/>
        <v>299</v>
      </c>
      <c r="CR151" s="72">
        <f t="shared" si="1258"/>
        <v>328</v>
      </c>
      <c r="CS151" s="72">
        <f t="shared" si="1259"/>
        <v>341</v>
      </c>
      <c r="CT151" s="23">
        <f t="shared" si="1260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233"/>
        <v>adrb2_human_6PS0</v>
      </c>
      <c r="B152" s="3" t="s">
        <v>126</v>
      </c>
      <c r="C152" s="3" t="s">
        <v>1604</v>
      </c>
      <c r="D152" s="3" t="str">
        <f>IFERROR(MID(VLOOKUP($B152,Seqs!$A:$B,2,0),E152,1),"")</f>
        <v>V</v>
      </c>
      <c r="E152" s="3">
        <v>31</v>
      </c>
      <c r="F152" s="3" t="str">
        <f>IFERROR(MID(VLOOKUP($B152,Seqs!$A:$B,2,0),G152,1),"")</f>
        <v>F</v>
      </c>
      <c r="G152" s="3">
        <v>61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M</v>
      </c>
      <c r="O152" s="3">
        <v>96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S</v>
      </c>
      <c r="W152" s="3">
        <v>137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L</v>
      </c>
      <c r="AM152" s="3">
        <v>230</v>
      </c>
      <c r="AN152" s="3" t="str">
        <f>IFERROR(MID(VLOOKUP($B152,Seqs!$A:$B,2,0),AO152,1),"")</f>
        <v>L</v>
      </c>
      <c r="AO152" s="3">
        <v>266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K</v>
      </c>
      <c r="AS152" s="3">
        <v>305</v>
      </c>
      <c r="AT152" s="3" t="str">
        <f>IFERROR(MID(VLOOKUP($B152,Seqs!$A:$B,2,0),AU152,1),"")</f>
        <v>R</v>
      </c>
      <c r="AU152" s="3">
        <v>328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C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si="1234"/>
        <v>1</v>
      </c>
      <c r="BC152" s="23">
        <f t="shared" si="1235"/>
        <v>243</v>
      </c>
      <c r="BD152" s="74" t="s">
        <v>23</v>
      </c>
      <c r="BE152" s="3" t="s">
        <v>1370</v>
      </c>
      <c r="BF152" s="118">
        <v>3.4</v>
      </c>
      <c r="BG152" s="49" t="s">
        <v>1</v>
      </c>
      <c r="BH152" s="49" t="s">
        <v>1</v>
      </c>
      <c r="BI152" s="1"/>
      <c r="BJ152" s="70" t="s">
        <v>1283</v>
      </c>
      <c r="BK152" s="57" t="s">
        <v>1283</v>
      </c>
      <c r="BL152" s="57" t="s">
        <v>1283</v>
      </c>
      <c r="BM152" s="57" t="s">
        <v>1283</v>
      </c>
      <c r="BN152" s="57" t="s">
        <v>1283</v>
      </c>
      <c r="BO152" s="57" t="s">
        <v>1283</v>
      </c>
      <c r="BP152" s="57" t="s">
        <v>1283</v>
      </c>
      <c r="BQ152" s="57" t="s">
        <v>1283</v>
      </c>
      <c r="BR152" s="57" t="s">
        <v>1283</v>
      </c>
      <c r="BS152" s="57" t="s">
        <v>1283</v>
      </c>
      <c r="BT152" s="57" t="s">
        <v>1283</v>
      </c>
      <c r="BU152" s="57" t="s">
        <v>1283</v>
      </c>
      <c r="BV152" s="70">
        <f t="shared" si="1236"/>
        <v>31</v>
      </c>
      <c r="BW152" s="71">
        <f t="shared" si="1237"/>
        <v>62</v>
      </c>
      <c r="BX152" s="72">
        <f t="shared" si="1238"/>
        <v>66</v>
      </c>
      <c r="BY152" s="71">
        <f t="shared" si="1239"/>
        <v>98</v>
      </c>
      <c r="BZ152" s="72">
        <f t="shared" si="1240"/>
        <v>102</v>
      </c>
      <c r="CA152" s="71" t="str">
        <f t="shared" si="1241"/>
        <v>-</v>
      </c>
      <c r="CB152" s="72">
        <f t="shared" si="1242"/>
        <v>146</v>
      </c>
      <c r="CC152" s="71">
        <f t="shared" si="1243"/>
        <v>191</v>
      </c>
      <c r="CD152" s="72">
        <f t="shared" si="1244"/>
        <v>196</v>
      </c>
      <c r="CE152" s="71">
        <f t="shared" si="1245"/>
        <v>266</v>
      </c>
      <c r="CF152" s="72">
        <f t="shared" si="1246"/>
        <v>305</v>
      </c>
      <c r="CG152" s="71">
        <f t="shared" si="1247"/>
        <v>329</v>
      </c>
      <c r="CH152" s="70">
        <f t="shared" si="1248"/>
        <v>61</v>
      </c>
      <c r="CI152" s="71">
        <f t="shared" si="1249"/>
        <v>65</v>
      </c>
      <c r="CJ152" s="72">
        <f t="shared" si="1250"/>
        <v>96</v>
      </c>
      <c r="CK152" s="72">
        <f t="shared" si="1251"/>
        <v>101</v>
      </c>
      <c r="CL152" s="72">
        <f t="shared" si="1252"/>
        <v>137</v>
      </c>
      <c r="CM152" s="72" t="str">
        <f t="shared" si="1253"/>
        <v>-</v>
      </c>
      <c r="CN152" s="72">
        <f t="shared" si="1254"/>
        <v>172</v>
      </c>
      <c r="CO152" s="72">
        <f t="shared" si="1255"/>
        <v>193</v>
      </c>
      <c r="CP152" s="72">
        <f t="shared" si="1256"/>
        <v>230</v>
      </c>
      <c r="CQ152" s="72">
        <f t="shared" si="1257"/>
        <v>299</v>
      </c>
      <c r="CR152" s="72">
        <f t="shared" si="1258"/>
        <v>328</v>
      </c>
      <c r="CS152" s="72">
        <f t="shared" si="1259"/>
        <v>341</v>
      </c>
      <c r="CT152" s="23">
        <f t="shared" si="126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233"/>
        <v>adrb2_human_6PS1</v>
      </c>
      <c r="B153" s="3" t="s">
        <v>126</v>
      </c>
      <c r="C153" s="3" t="s">
        <v>1605</v>
      </c>
      <c r="D153" s="3" t="str">
        <f>IFERROR(MID(VLOOKUP($B153,Seqs!$A:$B,2,0),E153,1),"")</f>
        <v>D</v>
      </c>
      <c r="E153" s="3">
        <v>29</v>
      </c>
      <c r="F153" s="3" t="str">
        <f>IFERROR(MID(VLOOKUP($B153,Seqs!$A:$B,2,0),G153,1),"")</f>
        <v>F</v>
      </c>
      <c r="G153" s="3">
        <v>61</v>
      </c>
      <c r="H153" s="3" t="str">
        <f>IFERROR(MID(VLOOKUP($B153,Seqs!$A:$B,2,0),I153,1),"")</f>
        <v>E</v>
      </c>
      <c r="I153" s="23">
        <v>62</v>
      </c>
      <c r="J153" s="3" t="str">
        <f>IFERROR(MID(VLOOKUP($B153,Seqs!$A:$B,2,0),K153,1),"")</f>
        <v>Q</v>
      </c>
      <c r="K153" s="23">
        <v>65</v>
      </c>
      <c r="L153" s="3" t="str">
        <f>IFERROR(MID(VLOOKUP($B153,Seqs!$A:$B,2,0),M153,1),"")</f>
        <v>T</v>
      </c>
      <c r="M153" s="3">
        <v>66</v>
      </c>
      <c r="N153" s="3" t="str">
        <f>IFERROR(MID(VLOOKUP($B153,Seqs!$A:$B,2,0),O153,1),"")</f>
        <v>M</v>
      </c>
      <c r="O153" s="3">
        <v>96</v>
      </c>
      <c r="P153" s="3" t="str">
        <f>IFERROR(MID(VLOOKUP($B153,Seqs!$A:$B,2,0),Q153,1),"")</f>
        <v>M</v>
      </c>
      <c r="Q153" s="3">
        <v>98</v>
      </c>
      <c r="R153" s="3" t="str">
        <f>IFERROR(MID(VLOOKUP($B153,Seqs!$A:$B,2,0),S153,1),"")</f>
        <v>F</v>
      </c>
      <c r="S153" s="3">
        <v>101</v>
      </c>
      <c r="T153" s="3" t="str">
        <f>IFERROR(MID(VLOOKUP($B153,Seqs!$A:$B,2,0),U153,1),"")</f>
        <v>G</v>
      </c>
      <c r="U153" s="3">
        <v>102</v>
      </c>
      <c r="V153" s="3" t="str">
        <f>IFERROR(MID(VLOOKUP($B153,Seqs!$A:$B,2,0),W153,1),"")</f>
        <v>S</v>
      </c>
      <c r="W153" s="3">
        <v>137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3">
        <v>146</v>
      </c>
      <c r="AD153" s="3" t="str">
        <f>IFERROR(MID(VLOOKUP($B153,Seqs!$A:$B,2,0),AE153,1),"")</f>
        <v>H</v>
      </c>
      <c r="AE153" s="3">
        <v>172</v>
      </c>
      <c r="AF153" s="3" t="str">
        <f>IFERROR(MID(VLOOKUP($B153,Seqs!$A:$B,2,0),AG153,1),"")</f>
        <v>C</v>
      </c>
      <c r="AG153" s="3">
        <v>191</v>
      </c>
      <c r="AH153" s="3" t="str">
        <f>IFERROR(MID(VLOOKUP($B153,Seqs!$A:$B,2,0),AI153,1),"")</f>
        <v>F</v>
      </c>
      <c r="AI153" s="3">
        <v>193</v>
      </c>
      <c r="AJ153" s="3" t="str">
        <f>IFERROR(MID(VLOOKUP($B153,Seqs!$A:$B,2,0),AK153,1),"")</f>
        <v>N</v>
      </c>
      <c r="AK153" s="3">
        <v>196</v>
      </c>
      <c r="AL153" s="3" t="str">
        <f>IFERROR(MID(VLOOKUP($B153,Seqs!$A:$B,2,0),AM153,1),"")</f>
        <v>L</v>
      </c>
      <c r="AM153" s="3">
        <v>230</v>
      </c>
      <c r="AN153" s="3" t="str">
        <f>IFERROR(MID(VLOOKUP($B153,Seqs!$A:$B,2,0),AO153,1),"")</f>
        <v>L</v>
      </c>
      <c r="AO153" s="3">
        <v>266</v>
      </c>
      <c r="AP153" s="3" t="str">
        <f>IFERROR(MID(VLOOKUP($B153,Seqs!$A:$B,2,0),AQ153,1),"")</f>
        <v>Q</v>
      </c>
      <c r="AQ153" s="3">
        <v>299</v>
      </c>
      <c r="AR153" s="3" t="str">
        <f>IFERROR(MID(VLOOKUP($B153,Seqs!$A:$B,2,0),AS153,1),"")</f>
        <v>K</v>
      </c>
      <c r="AS153" s="3">
        <v>305</v>
      </c>
      <c r="AT153" s="3" t="str">
        <f>IFERROR(MID(VLOOKUP($B153,Seqs!$A:$B,2,0),AU153,1),"")</f>
        <v>R</v>
      </c>
      <c r="AU153" s="3">
        <v>328</v>
      </c>
      <c r="AV153" s="3" t="str">
        <f>IFERROR(MID(VLOOKUP($B153,Seqs!$A:$B,2,0),AW153,1),"")</f>
        <v>S</v>
      </c>
      <c r="AW153" s="3">
        <v>329</v>
      </c>
      <c r="AX153" s="3" t="str">
        <f>IFERROR(MID(VLOOKUP($B153,Seqs!$A:$B,2,0),AY153,1),"")</f>
        <v>C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234"/>
        <v>1</v>
      </c>
      <c r="BC153" s="23">
        <f t="shared" si="1235"/>
        <v>245</v>
      </c>
      <c r="BD153" s="74" t="s">
        <v>23</v>
      </c>
      <c r="BE153" s="3" t="s">
        <v>1370</v>
      </c>
      <c r="BF153" s="118">
        <v>3.2</v>
      </c>
      <c r="BG153" s="49" t="s">
        <v>1</v>
      </c>
      <c r="BH153" s="49" t="s">
        <v>1</v>
      </c>
      <c r="BI153" s="1"/>
      <c r="BJ153" s="70" t="s">
        <v>1283</v>
      </c>
      <c r="BK153" s="57" t="s">
        <v>1283</v>
      </c>
      <c r="BL153" s="57" t="s">
        <v>1283</v>
      </c>
      <c r="BM153" s="57" t="s">
        <v>1283</v>
      </c>
      <c r="BN153" s="57" t="s">
        <v>1283</v>
      </c>
      <c r="BO153" s="57" t="s">
        <v>1283</v>
      </c>
      <c r="BP153" s="57" t="s">
        <v>1283</v>
      </c>
      <c r="BQ153" s="57" t="s">
        <v>1283</v>
      </c>
      <c r="BR153" s="57" t="s">
        <v>1283</v>
      </c>
      <c r="BS153" s="57" t="s">
        <v>1283</v>
      </c>
      <c r="BT153" s="57" t="s">
        <v>1283</v>
      </c>
      <c r="BU153" s="57" t="s">
        <v>1283</v>
      </c>
      <c r="BV153" s="70">
        <f t="shared" si="1236"/>
        <v>29</v>
      </c>
      <c r="BW153" s="71">
        <f t="shared" si="1237"/>
        <v>62</v>
      </c>
      <c r="BX153" s="72">
        <f t="shared" si="1238"/>
        <v>66</v>
      </c>
      <c r="BY153" s="71">
        <f t="shared" si="1239"/>
        <v>98</v>
      </c>
      <c r="BZ153" s="72">
        <f t="shared" si="1240"/>
        <v>102</v>
      </c>
      <c r="CA153" s="71" t="str">
        <f t="shared" si="1241"/>
        <v>-</v>
      </c>
      <c r="CB153" s="72">
        <f t="shared" si="1242"/>
        <v>146</v>
      </c>
      <c r="CC153" s="71">
        <f t="shared" si="1243"/>
        <v>191</v>
      </c>
      <c r="CD153" s="72">
        <f t="shared" si="1244"/>
        <v>196</v>
      </c>
      <c r="CE153" s="71">
        <f t="shared" si="1245"/>
        <v>266</v>
      </c>
      <c r="CF153" s="72">
        <f t="shared" si="1246"/>
        <v>305</v>
      </c>
      <c r="CG153" s="71">
        <f t="shared" si="1247"/>
        <v>329</v>
      </c>
      <c r="CH153" s="70">
        <f t="shared" si="1248"/>
        <v>61</v>
      </c>
      <c r="CI153" s="71">
        <f t="shared" si="1249"/>
        <v>65</v>
      </c>
      <c r="CJ153" s="72">
        <f t="shared" si="1250"/>
        <v>96</v>
      </c>
      <c r="CK153" s="72">
        <f t="shared" si="1251"/>
        <v>101</v>
      </c>
      <c r="CL153" s="72">
        <f t="shared" si="1252"/>
        <v>137</v>
      </c>
      <c r="CM153" s="72" t="str">
        <f t="shared" si="1253"/>
        <v>-</v>
      </c>
      <c r="CN153" s="72">
        <f t="shared" si="1254"/>
        <v>172</v>
      </c>
      <c r="CO153" s="72">
        <f t="shared" si="1255"/>
        <v>193</v>
      </c>
      <c r="CP153" s="72">
        <f t="shared" si="1256"/>
        <v>230</v>
      </c>
      <c r="CQ153" s="72">
        <f t="shared" si="1257"/>
        <v>299</v>
      </c>
      <c r="CR153" s="72">
        <f t="shared" si="1258"/>
        <v>328</v>
      </c>
      <c r="CS153" s="72">
        <f t="shared" si="1259"/>
        <v>341</v>
      </c>
      <c r="CT153" s="23">
        <f t="shared" si="126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233"/>
        <v>adrb2_human_6PS2</v>
      </c>
      <c r="B154" s="3" t="s">
        <v>126</v>
      </c>
      <c r="C154" s="3" t="s">
        <v>1606</v>
      </c>
      <c r="D154" s="3" t="str">
        <f>IFERROR(MID(VLOOKUP($B154,Seqs!$A:$B,2,0),E154,1),"")</f>
        <v>D</v>
      </c>
      <c r="E154" s="3">
        <v>29</v>
      </c>
      <c r="F154" s="3" t="str">
        <f>IFERROR(MID(VLOOKUP($B154,Seqs!$A:$B,2,0),G154,1),"")</f>
        <v>F</v>
      </c>
      <c r="G154" s="3">
        <v>61</v>
      </c>
      <c r="H154" s="3" t="str">
        <f>IFERROR(MID(VLOOKUP($B154,Seqs!$A:$B,2,0),I154,1),"")</f>
        <v>E</v>
      </c>
      <c r="I154" s="23">
        <v>62</v>
      </c>
      <c r="J154" s="3" t="str">
        <f>IFERROR(MID(VLOOKUP($B154,Seqs!$A:$B,2,0),K154,1),"")</f>
        <v>Q</v>
      </c>
      <c r="K154" s="23">
        <v>65</v>
      </c>
      <c r="L154" s="3" t="str">
        <f>IFERROR(MID(VLOOKUP($B154,Seqs!$A:$B,2,0),M154,1),"")</f>
        <v>T</v>
      </c>
      <c r="M154" s="3">
        <v>66</v>
      </c>
      <c r="N154" s="3" t="str">
        <f>IFERROR(MID(VLOOKUP($B154,Seqs!$A:$B,2,0),O154,1),"")</f>
        <v>K</v>
      </c>
      <c r="O154" s="3">
        <v>97</v>
      </c>
      <c r="P154" s="3" t="str">
        <f>IFERROR(MID(VLOOKUP($B154,Seqs!$A:$B,2,0),Q154,1),"")</f>
        <v>M</v>
      </c>
      <c r="Q154" s="3">
        <v>98</v>
      </c>
      <c r="R154" s="3" t="str">
        <f>IFERROR(MID(VLOOKUP($B154,Seqs!$A:$B,2,0),S154,1),"")</f>
        <v>F</v>
      </c>
      <c r="S154" s="3">
        <v>101</v>
      </c>
      <c r="T154" s="3" t="str">
        <f>IFERROR(MID(VLOOKUP($B154,Seqs!$A:$B,2,0),U154,1),"")</f>
        <v>G</v>
      </c>
      <c r="U154" s="3">
        <v>102</v>
      </c>
      <c r="V154" s="3" t="str">
        <f>IFERROR(MID(VLOOKUP($B154,Seqs!$A:$B,2,0),W154,1),"")</f>
        <v>S</v>
      </c>
      <c r="W154" s="3">
        <v>137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3">
        <v>146</v>
      </c>
      <c r="AD154" s="3" t="str">
        <f>IFERROR(MID(VLOOKUP($B154,Seqs!$A:$B,2,0),AE154,1),"")</f>
        <v>H</v>
      </c>
      <c r="AE154" s="3">
        <v>172</v>
      </c>
      <c r="AF154" s="3" t="str">
        <f>IFERROR(MID(VLOOKUP($B154,Seqs!$A:$B,2,0),AG154,1),"")</f>
        <v>C</v>
      </c>
      <c r="AG154" s="3">
        <v>191</v>
      </c>
      <c r="AH154" s="3" t="str">
        <f>IFERROR(MID(VLOOKUP($B154,Seqs!$A:$B,2,0),AI154,1),"")</f>
        <v>F</v>
      </c>
      <c r="AI154" s="3">
        <v>193</v>
      </c>
      <c r="AJ154" s="3" t="str">
        <f>IFERROR(MID(VLOOKUP($B154,Seqs!$A:$B,2,0),AK154,1),"")</f>
        <v>N</v>
      </c>
      <c r="AK154" s="3">
        <v>196</v>
      </c>
      <c r="AL154" s="3" t="str">
        <f>IFERROR(MID(VLOOKUP($B154,Seqs!$A:$B,2,0),AM154,1),"")</f>
        <v>L</v>
      </c>
      <c r="AM154" s="3">
        <v>230</v>
      </c>
      <c r="AN154" s="3" t="str">
        <f>IFERROR(MID(VLOOKUP($B154,Seqs!$A:$B,2,0),AO154,1),"")</f>
        <v>L</v>
      </c>
      <c r="AO154" s="3">
        <v>266</v>
      </c>
      <c r="AP154" s="3" t="str">
        <f>IFERROR(MID(VLOOKUP($B154,Seqs!$A:$B,2,0),AQ154,1),"")</f>
        <v>D</v>
      </c>
      <c r="AQ154" s="3">
        <v>300</v>
      </c>
      <c r="AR154" s="3" t="str">
        <f>IFERROR(MID(VLOOKUP($B154,Seqs!$A:$B,2,0),AS154,1),"")</f>
        <v>K</v>
      </c>
      <c r="AS154" s="3">
        <v>305</v>
      </c>
      <c r="AT154" s="3" t="str">
        <f>IFERROR(MID(VLOOKUP($B154,Seqs!$A:$B,2,0),AU154,1),"")</f>
        <v>R</v>
      </c>
      <c r="AU154" s="3">
        <v>328</v>
      </c>
      <c r="AV154" s="3" t="str">
        <f>IFERROR(MID(VLOOKUP($B154,Seqs!$A:$B,2,0),AW154,1),"")</f>
        <v>S</v>
      </c>
      <c r="AW154" s="3">
        <v>329</v>
      </c>
      <c r="AX154" s="3" t="str">
        <f>IFERROR(MID(VLOOKUP($B154,Seqs!$A:$B,2,0),AY154,1),"")</f>
        <v>C</v>
      </c>
      <c r="AY154" s="3">
        <v>341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234"/>
        <v>1</v>
      </c>
      <c r="BC154" s="23">
        <f t="shared" si="1235"/>
        <v>247</v>
      </c>
      <c r="BD154" s="74" t="s">
        <v>23</v>
      </c>
      <c r="BE154" s="3" t="s">
        <v>1370</v>
      </c>
      <c r="BF154" s="118">
        <v>2.4</v>
      </c>
      <c r="BG154" s="49" t="s">
        <v>1</v>
      </c>
      <c r="BH154" s="49" t="s">
        <v>1</v>
      </c>
      <c r="BI154" s="1"/>
      <c r="BJ154" s="70" t="s">
        <v>1283</v>
      </c>
      <c r="BK154" s="57" t="s">
        <v>1283</v>
      </c>
      <c r="BL154" s="57" t="s">
        <v>1283</v>
      </c>
      <c r="BM154" s="57" t="s">
        <v>1283</v>
      </c>
      <c r="BN154" s="57" t="s">
        <v>1283</v>
      </c>
      <c r="BO154" s="57" t="s">
        <v>1283</v>
      </c>
      <c r="BP154" s="57" t="s">
        <v>1283</v>
      </c>
      <c r="BQ154" s="57" t="s">
        <v>1283</v>
      </c>
      <c r="BR154" s="57" t="s">
        <v>1283</v>
      </c>
      <c r="BS154" s="57" t="s">
        <v>1283</v>
      </c>
      <c r="BT154" s="57" t="s">
        <v>1283</v>
      </c>
      <c r="BU154" s="57" t="s">
        <v>1283</v>
      </c>
      <c r="BV154" s="70">
        <f t="shared" si="1236"/>
        <v>29</v>
      </c>
      <c r="BW154" s="71">
        <f t="shared" si="1237"/>
        <v>62</v>
      </c>
      <c r="BX154" s="72">
        <f t="shared" si="1238"/>
        <v>66</v>
      </c>
      <c r="BY154" s="71">
        <f t="shared" si="1239"/>
        <v>98</v>
      </c>
      <c r="BZ154" s="72">
        <f t="shared" si="1240"/>
        <v>102</v>
      </c>
      <c r="CA154" s="71" t="str">
        <f t="shared" si="1241"/>
        <v>-</v>
      </c>
      <c r="CB154" s="72">
        <f t="shared" si="1242"/>
        <v>146</v>
      </c>
      <c r="CC154" s="71">
        <f t="shared" si="1243"/>
        <v>191</v>
      </c>
      <c r="CD154" s="72">
        <f t="shared" si="1244"/>
        <v>196</v>
      </c>
      <c r="CE154" s="71">
        <f t="shared" si="1245"/>
        <v>266</v>
      </c>
      <c r="CF154" s="72">
        <f t="shared" si="1246"/>
        <v>305</v>
      </c>
      <c r="CG154" s="71">
        <f t="shared" si="1247"/>
        <v>329</v>
      </c>
      <c r="CH154" s="70">
        <f t="shared" si="1248"/>
        <v>61</v>
      </c>
      <c r="CI154" s="71">
        <f t="shared" si="1249"/>
        <v>65</v>
      </c>
      <c r="CJ154" s="72">
        <f t="shared" si="1250"/>
        <v>97</v>
      </c>
      <c r="CK154" s="72">
        <f t="shared" si="1251"/>
        <v>101</v>
      </c>
      <c r="CL154" s="72">
        <f t="shared" si="1252"/>
        <v>137</v>
      </c>
      <c r="CM154" s="72" t="str">
        <f t="shared" si="1253"/>
        <v>-</v>
      </c>
      <c r="CN154" s="72">
        <f t="shared" si="1254"/>
        <v>172</v>
      </c>
      <c r="CO154" s="72">
        <f t="shared" si="1255"/>
        <v>193</v>
      </c>
      <c r="CP154" s="72">
        <f t="shared" si="1256"/>
        <v>230</v>
      </c>
      <c r="CQ154" s="72">
        <f t="shared" si="1257"/>
        <v>300</v>
      </c>
      <c r="CR154" s="72">
        <f t="shared" si="1258"/>
        <v>328</v>
      </c>
      <c r="CS154" s="72">
        <f t="shared" si="1259"/>
        <v>341</v>
      </c>
      <c r="CT154" s="23">
        <f t="shared" si="126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1233"/>
        <v>adrb2_human_6PS3</v>
      </c>
      <c r="B155" s="3" t="s">
        <v>126</v>
      </c>
      <c r="C155" s="3" t="s">
        <v>1607</v>
      </c>
      <c r="D155" s="3" t="str">
        <f>IFERROR(MID(VLOOKUP($B155,Seqs!$A:$B,2,0),E155,1),"")</f>
        <v>D</v>
      </c>
      <c r="E155" s="3">
        <v>29</v>
      </c>
      <c r="F155" s="3" t="str">
        <f>IFERROR(MID(VLOOKUP($B155,Seqs!$A:$B,2,0),G155,1),"")</f>
        <v>F</v>
      </c>
      <c r="G155" s="3">
        <v>61</v>
      </c>
      <c r="H155" s="3" t="str">
        <f>IFERROR(MID(VLOOKUP($B155,Seqs!$A:$B,2,0),I155,1),"")</f>
        <v>E</v>
      </c>
      <c r="I155" s="23">
        <v>62</v>
      </c>
      <c r="J155" s="3" t="str">
        <f>IFERROR(MID(VLOOKUP($B155,Seqs!$A:$B,2,0),K155,1),"")</f>
        <v>Q</v>
      </c>
      <c r="K155" s="23">
        <v>65</v>
      </c>
      <c r="L155" s="3" t="str">
        <f>IFERROR(MID(VLOOKUP($B155,Seqs!$A:$B,2,0),M155,1),"")</f>
        <v>T</v>
      </c>
      <c r="M155" s="3">
        <v>66</v>
      </c>
      <c r="N155" s="3" t="str">
        <f>IFERROR(MID(VLOOKUP($B155,Seqs!$A:$B,2,0),O155,1),"")</f>
        <v>M</v>
      </c>
      <c r="O155" s="3">
        <v>96</v>
      </c>
      <c r="P155" s="3" t="str">
        <f>IFERROR(MID(VLOOKUP($B155,Seqs!$A:$B,2,0),Q155,1),"")</f>
        <v>M</v>
      </c>
      <c r="Q155" s="3">
        <v>98</v>
      </c>
      <c r="R155" s="3" t="str">
        <f>IFERROR(MID(VLOOKUP($B155,Seqs!$A:$B,2,0),S155,1),"")</f>
        <v>F</v>
      </c>
      <c r="S155" s="3">
        <v>101</v>
      </c>
      <c r="T155" s="3" t="str">
        <f>IFERROR(MID(VLOOKUP($B155,Seqs!$A:$B,2,0),U155,1),"")</f>
        <v>G</v>
      </c>
      <c r="U155" s="3">
        <v>102</v>
      </c>
      <c r="V155" s="3" t="str">
        <f>IFERROR(MID(VLOOKUP($B155,Seqs!$A:$B,2,0),W155,1),"")</f>
        <v>S</v>
      </c>
      <c r="W155" s="3">
        <v>137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3">
        <v>146</v>
      </c>
      <c r="AD155" s="3" t="str">
        <f>IFERROR(MID(VLOOKUP($B155,Seqs!$A:$B,2,0),AE155,1),"")</f>
        <v>H</v>
      </c>
      <c r="AE155" s="3">
        <v>172</v>
      </c>
      <c r="AF155" s="3" t="str">
        <f>IFERROR(MID(VLOOKUP($B155,Seqs!$A:$B,2,0),AG155,1),"")</f>
        <v>C</v>
      </c>
      <c r="AG155" s="3">
        <v>191</v>
      </c>
      <c r="AH155" s="3" t="str">
        <f>IFERROR(MID(VLOOKUP($B155,Seqs!$A:$B,2,0),AI155,1),"")</f>
        <v>F</v>
      </c>
      <c r="AI155" s="3">
        <v>193</v>
      </c>
      <c r="AJ155" s="3" t="str">
        <f>IFERROR(MID(VLOOKUP($B155,Seqs!$A:$B,2,0),AK155,1),"")</f>
        <v>N</v>
      </c>
      <c r="AK155" s="3">
        <v>196</v>
      </c>
      <c r="AL155" s="3" t="str">
        <f>IFERROR(MID(VLOOKUP($B155,Seqs!$A:$B,2,0),AM155,1),"")</f>
        <v>L</v>
      </c>
      <c r="AM155" s="3">
        <v>230</v>
      </c>
      <c r="AN155" s="3" t="str">
        <f>IFERROR(MID(VLOOKUP($B155,Seqs!$A:$B,2,0),AO155,1),"")</f>
        <v>L</v>
      </c>
      <c r="AO155" s="3">
        <v>266</v>
      </c>
      <c r="AP155" s="3" t="str">
        <f>IFERROR(MID(VLOOKUP($B155,Seqs!$A:$B,2,0),AQ155,1),"")</f>
        <v>D</v>
      </c>
      <c r="AQ155" s="3">
        <v>300</v>
      </c>
      <c r="AR155" s="3" t="str">
        <f>IFERROR(MID(VLOOKUP($B155,Seqs!$A:$B,2,0),AS155,1),"")</f>
        <v>K</v>
      </c>
      <c r="AS155" s="3">
        <v>305</v>
      </c>
      <c r="AT155" s="3" t="str">
        <f>IFERROR(MID(VLOOKUP($B155,Seqs!$A:$B,2,0),AU155,1),"")</f>
        <v>R</v>
      </c>
      <c r="AU155" s="3">
        <v>328</v>
      </c>
      <c r="AV155" s="3" t="str">
        <f>IFERROR(MID(VLOOKUP($B155,Seqs!$A:$B,2,0),AW155,1),"")</f>
        <v>S</v>
      </c>
      <c r="AW155" s="3">
        <v>329</v>
      </c>
      <c r="AX155" s="3" t="str">
        <f>IFERROR(MID(VLOOKUP($B155,Seqs!$A:$B,2,0),AY155,1),"")</f>
        <v>C</v>
      </c>
      <c r="AY155" s="3">
        <v>341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si="1234"/>
        <v>1</v>
      </c>
      <c r="BC155" s="23">
        <f t="shared" si="1235"/>
        <v>246</v>
      </c>
      <c r="BD155" s="74" t="s">
        <v>23</v>
      </c>
      <c r="BE155" s="3" t="s">
        <v>1370</v>
      </c>
      <c r="BF155" s="118">
        <v>2.5</v>
      </c>
      <c r="BG155" s="49" t="s">
        <v>1</v>
      </c>
      <c r="BH155" s="49" t="s">
        <v>1</v>
      </c>
      <c r="BI155" s="1"/>
      <c r="BJ155" s="70" t="s">
        <v>1283</v>
      </c>
      <c r="BK155" s="57" t="s">
        <v>1283</v>
      </c>
      <c r="BL155" s="57" t="s">
        <v>1283</v>
      </c>
      <c r="BM155" s="57" t="s">
        <v>1283</v>
      </c>
      <c r="BN155" s="57" t="s">
        <v>1283</v>
      </c>
      <c r="BO155" s="57" t="s">
        <v>1283</v>
      </c>
      <c r="BP155" s="57" t="s">
        <v>1283</v>
      </c>
      <c r="BQ155" s="57" t="s">
        <v>1283</v>
      </c>
      <c r="BR155" s="57" t="s">
        <v>1283</v>
      </c>
      <c r="BS155" s="57" t="s">
        <v>1283</v>
      </c>
      <c r="BT155" s="57" t="s">
        <v>1283</v>
      </c>
      <c r="BU155" s="57" t="s">
        <v>1283</v>
      </c>
      <c r="BV155" s="70">
        <f t="shared" si="1236"/>
        <v>29</v>
      </c>
      <c r="BW155" s="71">
        <f t="shared" si="1237"/>
        <v>62</v>
      </c>
      <c r="BX155" s="72">
        <f t="shared" si="1238"/>
        <v>66</v>
      </c>
      <c r="BY155" s="71">
        <f t="shared" si="1239"/>
        <v>98</v>
      </c>
      <c r="BZ155" s="72">
        <f t="shared" si="1240"/>
        <v>102</v>
      </c>
      <c r="CA155" s="71" t="str">
        <f t="shared" si="1241"/>
        <v>-</v>
      </c>
      <c r="CB155" s="72">
        <f t="shared" si="1242"/>
        <v>146</v>
      </c>
      <c r="CC155" s="71">
        <f t="shared" si="1243"/>
        <v>191</v>
      </c>
      <c r="CD155" s="72">
        <f t="shared" si="1244"/>
        <v>196</v>
      </c>
      <c r="CE155" s="71">
        <f t="shared" si="1245"/>
        <v>266</v>
      </c>
      <c r="CF155" s="72">
        <f t="shared" si="1246"/>
        <v>305</v>
      </c>
      <c r="CG155" s="71">
        <f t="shared" si="1247"/>
        <v>329</v>
      </c>
      <c r="CH155" s="70">
        <f t="shared" si="1248"/>
        <v>61</v>
      </c>
      <c r="CI155" s="71">
        <f t="shared" si="1249"/>
        <v>65</v>
      </c>
      <c r="CJ155" s="72">
        <f t="shared" si="1250"/>
        <v>96</v>
      </c>
      <c r="CK155" s="72">
        <f t="shared" si="1251"/>
        <v>101</v>
      </c>
      <c r="CL155" s="72">
        <f t="shared" si="1252"/>
        <v>137</v>
      </c>
      <c r="CM155" s="72" t="str">
        <f t="shared" si="1253"/>
        <v>-</v>
      </c>
      <c r="CN155" s="72">
        <f t="shared" si="1254"/>
        <v>172</v>
      </c>
      <c r="CO155" s="72">
        <f t="shared" si="1255"/>
        <v>193</v>
      </c>
      <c r="CP155" s="72">
        <f t="shared" si="1256"/>
        <v>230</v>
      </c>
      <c r="CQ155" s="72">
        <f t="shared" si="1257"/>
        <v>300</v>
      </c>
      <c r="CR155" s="72">
        <f t="shared" si="1258"/>
        <v>328</v>
      </c>
      <c r="CS155" s="72">
        <f t="shared" si="1259"/>
        <v>341</v>
      </c>
      <c r="CT155" s="23">
        <f t="shared" si="126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233"/>
        <v>adrb2_human_6PS4</v>
      </c>
      <c r="B156" s="3" t="s">
        <v>126</v>
      </c>
      <c r="C156" s="3" t="s">
        <v>1608</v>
      </c>
      <c r="D156" s="3" t="str">
        <f>IFERROR(MID(VLOOKUP($B156,Seqs!$A:$B,2,0),E156,1),"")</f>
        <v>D</v>
      </c>
      <c r="E156" s="3">
        <v>29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K</v>
      </c>
      <c r="O156" s="3">
        <v>97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L</v>
      </c>
      <c r="AM156" s="3">
        <v>230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D</v>
      </c>
      <c r="AQ156" s="3">
        <v>300</v>
      </c>
      <c r="AR156" s="3" t="str">
        <f>IFERROR(MID(VLOOKUP($B156,Seqs!$A:$B,2,0),AS156,1),"")</f>
        <v>K</v>
      </c>
      <c r="AS156" s="3">
        <v>305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si="1234"/>
        <v>1</v>
      </c>
      <c r="BC156" s="23">
        <f t="shared" si="1235"/>
        <v>247</v>
      </c>
      <c r="BD156" s="74" t="s">
        <v>23</v>
      </c>
      <c r="BE156" s="3" t="s">
        <v>1370</v>
      </c>
      <c r="BF156" s="118">
        <v>2.6</v>
      </c>
      <c r="BG156" s="49" t="s">
        <v>1</v>
      </c>
      <c r="BH156" s="49" t="s">
        <v>1</v>
      </c>
      <c r="BI156" s="1"/>
      <c r="BJ156" s="70" t="s">
        <v>1283</v>
      </c>
      <c r="BK156" s="57" t="s">
        <v>1283</v>
      </c>
      <c r="BL156" s="57" t="s">
        <v>1283</v>
      </c>
      <c r="BM156" s="57" t="s">
        <v>1283</v>
      </c>
      <c r="BN156" s="57" t="s">
        <v>1283</v>
      </c>
      <c r="BO156" s="57" t="s">
        <v>1283</v>
      </c>
      <c r="BP156" s="57" t="s">
        <v>1283</v>
      </c>
      <c r="BQ156" s="57" t="s">
        <v>1283</v>
      </c>
      <c r="BR156" s="57" t="s">
        <v>1283</v>
      </c>
      <c r="BS156" s="57" t="s">
        <v>1283</v>
      </c>
      <c r="BT156" s="57" t="s">
        <v>1283</v>
      </c>
      <c r="BU156" s="57" t="s">
        <v>1283</v>
      </c>
      <c r="BV156" s="70">
        <f t="shared" si="1236"/>
        <v>29</v>
      </c>
      <c r="BW156" s="71">
        <f t="shared" si="1237"/>
        <v>62</v>
      </c>
      <c r="BX156" s="72">
        <f t="shared" si="1238"/>
        <v>66</v>
      </c>
      <c r="BY156" s="71">
        <f t="shared" si="1239"/>
        <v>98</v>
      </c>
      <c r="BZ156" s="72">
        <f t="shared" si="1240"/>
        <v>102</v>
      </c>
      <c r="CA156" s="71" t="str">
        <f t="shared" si="1241"/>
        <v>-</v>
      </c>
      <c r="CB156" s="72">
        <f t="shared" si="1242"/>
        <v>146</v>
      </c>
      <c r="CC156" s="71">
        <f t="shared" si="1243"/>
        <v>191</v>
      </c>
      <c r="CD156" s="72">
        <f t="shared" si="1244"/>
        <v>196</v>
      </c>
      <c r="CE156" s="71">
        <f t="shared" si="1245"/>
        <v>266</v>
      </c>
      <c r="CF156" s="72">
        <f t="shared" si="1246"/>
        <v>305</v>
      </c>
      <c r="CG156" s="71">
        <f t="shared" si="1247"/>
        <v>329</v>
      </c>
      <c r="CH156" s="70">
        <f t="shared" si="1248"/>
        <v>61</v>
      </c>
      <c r="CI156" s="71">
        <f t="shared" si="1249"/>
        <v>65</v>
      </c>
      <c r="CJ156" s="72">
        <f t="shared" si="1250"/>
        <v>97</v>
      </c>
      <c r="CK156" s="72">
        <f t="shared" si="1251"/>
        <v>101</v>
      </c>
      <c r="CL156" s="72">
        <f t="shared" si="1252"/>
        <v>137</v>
      </c>
      <c r="CM156" s="72" t="str">
        <f t="shared" si="1253"/>
        <v>-</v>
      </c>
      <c r="CN156" s="72">
        <f t="shared" si="1254"/>
        <v>172</v>
      </c>
      <c r="CO156" s="72">
        <f t="shared" si="1255"/>
        <v>193</v>
      </c>
      <c r="CP156" s="72">
        <f t="shared" si="1256"/>
        <v>230</v>
      </c>
      <c r="CQ156" s="72">
        <f t="shared" si="1257"/>
        <v>300</v>
      </c>
      <c r="CR156" s="72">
        <f t="shared" si="1258"/>
        <v>328</v>
      </c>
      <c r="CS156" s="72">
        <f t="shared" si="1259"/>
        <v>341</v>
      </c>
      <c r="CT156" s="23">
        <f t="shared" si="126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233"/>
        <v>adrb2_human_6PS5</v>
      </c>
      <c r="B157" s="3" t="s">
        <v>126</v>
      </c>
      <c r="C157" s="3" t="s">
        <v>1609</v>
      </c>
      <c r="D157" s="3" t="str">
        <f>IFERROR(MID(VLOOKUP($B157,Seqs!$A:$B,2,0),E157,1),"")</f>
        <v>D</v>
      </c>
      <c r="E157" s="3">
        <v>29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M</v>
      </c>
      <c r="O157" s="3">
        <v>96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D</v>
      </c>
      <c r="AQ157" s="3">
        <v>300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234"/>
        <v>1</v>
      </c>
      <c r="BC157" s="23">
        <f t="shared" si="1235"/>
        <v>246</v>
      </c>
      <c r="BD157" s="74" t="s">
        <v>23</v>
      </c>
      <c r="BE157" s="3" t="s">
        <v>1370</v>
      </c>
      <c r="BF157" s="118">
        <v>2.9</v>
      </c>
      <c r="BG157" s="49" t="s">
        <v>1</v>
      </c>
      <c r="BH157" s="49" t="s">
        <v>1</v>
      </c>
      <c r="BI157" s="1"/>
      <c r="BJ157" s="70" t="s">
        <v>1283</v>
      </c>
      <c r="BK157" s="57" t="s">
        <v>1283</v>
      </c>
      <c r="BL157" s="57" t="s">
        <v>1283</v>
      </c>
      <c r="BM157" s="57" t="s">
        <v>1283</v>
      </c>
      <c r="BN157" s="57" t="s">
        <v>1283</v>
      </c>
      <c r="BO157" s="57" t="s">
        <v>1283</v>
      </c>
      <c r="BP157" s="57" t="s">
        <v>1283</v>
      </c>
      <c r="BQ157" s="57" t="s">
        <v>1283</v>
      </c>
      <c r="BR157" s="57" t="s">
        <v>1283</v>
      </c>
      <c r="BS157" s="57" t="s">
        <v>1283</v>
      </c>
      <c r="BT157" s="57" t="s">
        <v>1283</v>
      </c>
      <c r="BU157" s="57" t="s">
        <v>1283</v>
      </c>
      <c r="BV157" s="70">
        <f t="shared" si="1236"/>
        <v>29</v>
      </c>
      <c r="BW157" s="71">
        <f t="shared" si="1237"/>
        <v>62</v>
      </c>
      <c r="BX157" s="72">
        <f t="shared" si="1238"/>
        <v>66</v>
      </c>
      <c r="BY157" s="71">
        <f t="shared" si="1239"/>
        <v>98</v>
      </c>
      <c r="BZ157" s="72">
        <f t="shared" si="1240"/>
        <v>102</v>
      </c>
      <c r="CA157" s="71" t="str">
        <f t="shared" si="1241"/>
        <v>-</v>
      </c>
      <c r="CB157" s="72">
        <f t="shared" si="1242"/>
        <v>146</v>
      </c>
      <c r="CC157" s="71">
        <f t="shared" si="1243"/>
        <v>191</v>
      </c>
      <c r="CD157" s="72">
        <f t="shared" si="1244"/>
        <v>196</v>
      </c>
      <c r="CE157" s="71">
        <f t="shared" si="1245"/>
        <v>266</v>
      </c>
      <c r="CF157" s="72">
        <f t="shared" si="1246"/>
        <v>305</v>
      </c>
      <c r="CG157" s="71">
        <f t="shared" si="1247"/>
        <v>329</v>
      </c>
      <c r="CH157" s="70">
        <f t="shared" si="1248"/>
        <v>61</v>
      </c>
      <c r="CI157" s="71">
        <f t="shared" si="1249"/>
        <v>65</v>
      </c>
      <c r="CJ157" s="72">
        <f t="shared" si="1250"/>
        <v>96</v>
      </c>
      <c r="CK157" s="72">
        <f t="shared" si="1251"/>
        <v>101</v>
      </c>
      <c r="CL157" s="72">
        <f t="shared" si="1252"/>
        <v>137</v>
      </c>
      <c r="CM157" s="72" t="str">
        <f t="shared" si="1253"/>
        <v>-</v>
      </c>
      <c r="CN157" s="72">
        <f t="shared" si="1254"/>
        <v>172</v>
      </c>
      <c r="CO157" s="72">
        <f t="shared" si="1255"/>
        <v>193</v>
      </c>
      <c r="CP157" s="72">
        <f t="shared" si="1256"/>
        <v>230</v>
      </c>
      <c r="CQ157" s="72">
        <f t="shared" si="1257"/>
        <v>300</v>
      </c>
      <c r="CR157" s="72">
        <f t="shared" si="1258"/>
        <v>328</v>
      </c>
      <c r="CS157" s="72">
        <f t="shared" si="1259"/>
        <v>341</v>
      </c>
      <c r="CT157" s="23">
        <f t="shared" si="126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233"/>
        <v>adrb2_human_6PS6</v>
      </c>
      <c r="B158" s="3" t="s">
        <v>126</v>
      </c>
      <c r="C158" s="3" t="s">
        <v>1610</v>
      </c>
      <c r="D158" s="3" t="str">
        <f>IFERROR(MID(VLOOKUP($B158,Seqs!$A:$B,2,0),E158,1),"")</f>
        <v>D</v>
      </c>
      <c r="E158" s="3">
        <v>29</v>
      </c>
      <c r="F158" s="3" t="str">
        <f>IFERROR(MID(VLOOKUP($B158,Seqs!$A:$B,2,0),G158,1),"")</f>
        <v>F</v>
      </c>
      <c r="G158" s="3">
        <v>61</v>
      </c>
      <c r="H158" s="3" t="str">
        <f>IFERROR(MID(VLOOKUP($B158,Seqs!$A:$B,2,0),I158,1),"")</f>
        <v>E</v>
      </c>
      <c r="I158" s="23">
        <v>62</v>
      </c>
      <c r="J158" s="3" t="str">
        <f>IFERROR(MID(VLOOKUP($B158,Seqs!$A:$B,2,0),K158,1),"")</f>
        <v>Q</v>
      </c>
      <c r="K158" s="23">
        <v>65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M</v>
      </c>
      <c r="O158" s="3">
        <v>96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>C</v>
      </c>
      <c r="AG158" s="3">
        <v>191</v>
      </c>
      <c r="AH158" s="3" t="str">
        <f>IFERROR(MID(VLOOKUP($B158,Seqs!$A:$B,2,0),AI158,1),"")</f>
        <v>F</v>
      </c>
      <c r="AI158" s="3">
        <v>193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L</v>
      </c>
      <c r="AM158" s="3">
        <v>230</v>
      </c>
      <c r="AN158" s="3" t="str">
        <f>IFERROR(MID(VLOOKUP($B158,Seqs!$A:$B,2,0),AO158,1),"")</f>
        <v>L</v>
      </c>
      <c r="AO158" s="3">
        <v>266</v>
      </c>
      <c r="AP158" s="3" t="str">
        <f>IFERROR(MID(VLOOKUP($B158,Seqs!$A:$B,2,0),AQ158,1),"")</f>
        <v>D</v>
      </c>
      <c r="AQ158" s="3">
        <v>300</v>
      </c>
      <c r="AR158" s="3" t="str">
        <f>IFERROR(MID(VLOOKUP($B158,Seqs!$A:$B,2,0),AS158,1),"")</f>
        <v>K</v>
      </c>
      <c r="AS158" s="3">
        <v>305</v>
      </c>
      <c r="AT158" s="3" t="str">
        <f>IFERROR(MID(VLOOKUP($B158,Seqs!$A:$B,2,0),AU158,1),"")</f>
        <v>R</v>
      </c>
      <c r="AU158" s="3">
        <v>328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C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234"/>
        <v>1</v>
      </c>
      <c r="BC158" s="23">
        <f t="shared" si="1235"/>
        <v>246</v>
      </c>
      <c r="BD158" s="74" t="s">
        <v>23</v>
      </c>
      <c r="BE158" s="3" t="s">
        <v>1370</v>
      </c>
      <c r="BF158" s="118">
        <v>2.7</v>
      </c>
      <c r="BG158" s="49" t="s">
        <v>1</v>
      </c>
      <c r="BH158" s="49" t="s">
        <v>1</v>
      </c>
      <c r="BI158" s="1"/>
      <c r="BJ158" s="70" t="s">
        <v>1283</v>
      </c>
      <c r="BK158" s="57" t="s">
        <v>1283</v>
      </c>
      <c r="BL158" s="57" t="s">
        <v>1283</v>
      </c>
      <c r="BM158" s="57" t="s">
        <v>1283</v>
      </c>
      <c r="BN158" s="57" t="s">
        <v>1283</v>
      </c>
      <c r="BO158" s="57" t="s">
        <v>1283</v>
      </c>
      <c r="BP158" s="57" t="s">
        <v>1283</v>
      </c>
      <c r="BQ158" s="57" t="s">
        <v>1283</v>
      </c>
      <c r="BR158" s="57" t="s">
        <v>1283</v>
      </c>
      <c r="BS158" s="57" t="s">
        <v>1283</v>
      </c>
      <c r="BT158" s="57" t="s">
        <v>1283</v>
      </c>
      <c r="BU158" s="57" t="s">
        <v>1283</v>
      </c>
      <c r="BV158" s="70">
        <f t="shared" si="1236"/>
        <v>29</v>
      </c>
      <c r="BW158" s="71">
        <f t="shared" si="1237"/>
        <v>62</v>
      </c>
      <c r="BX158" s="72">
        <f t="shared" si="1238"/>
        <v>66</v>
      </c>
      <c r="BY158" s="71">
        <f t="shared" si="1239"/>
        <v>98</v>
      </c>
      <c r="BZ158" s="72">
        <f t="shared" si="1240"/>
        <v>102</v>
      </c>
      <c r="CA158" s="71" t="str">
        <f t="shared" si="1241"/>
        <v>-</v>
      </c>
      <c r="CB158" s="72">
        <f t="shared" si="1242"/>
        <v>146</v>
      </c>
      <c r="CC158" s="71">
        <f t="shared" si="1243"/>
        <v>191</v>
      </c>
      <c r="CD158" s="72">
        <f t="shared" si="1244"/>
        <v>196</v>
      </c>
      <c r="CE158" s="71">
        <f t="shared" si="1245"/>
        <v>266</v>
      </c>
      <c r="CF158" s="72">
        <f t="shared" si="1246"/>
        <v>305</v>
      </c>
      <c r="CG158" s="71">
        <f t="shared" si="1247"/>
        <v>329</v>
      </c>
      <c r="CH158" s="70">
        <f t="shared" si="1248"/>
        <v>61</v>
      </c>
      <c r="CI158" s="71">
        <f t="shared" si="1249"/>
        <v>65</v>
      </c>
      <c r="CJ158" s="72">
        <f t="shared" si="1250"/>
        <v>96</v>
      </c>
      <c r="CK158" s="72">
        <f t="shared" si="1251"/>
        <v>101</v>
      </c>
      <c r="CL158" s="72">
        <f t="shared" si="1252"/>
        <v>137</v>
      </c>
      <c r="CM158" s="72" t="str">
        <f t="shared" si="1253"/>
        <v>-</v>
      </c>
      <c r="CN158" s="72">
        <f t="shared" si="1254"/>
        <v>172</v>
      </c>
      <c r="CO158" s="72">
        <f t="shared" si="1255"/>
        <v>193</v>
      </c>
      <c r="CP158" s="72">
        <f t="shared" si="1256"/>
        <v>230</v>
      </c>
      <c r="CQ158" s="72">
        <f t="shared" si="1257"/>
        <v>300</v>
      </c>
      <c r="CR158" s="72">
        <f t="shared" si="1258"/>
        <v>328</v>
      </c>
      <c r="CS158" s="72">
        <f t="shared" si="1259"/>
        <v>341</v>
      </c>
      <c r="CT158" s="23">
        <f t="shared" si="126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>CONCATENATE(B159,"_",C159)</f>
        <v>adrb2_human_6NI3</v>
      </c>
      <c r="B159" s="3" t="s">
        <v>126</v>
      </c>
      <c r="C159" s="3" t="s">
        <v>1613</v>
      </c>
      <c r="D159" s="3" t="str">
        <f>IFERROR(MID(VLOOKUP($B159,Seqs!$A:$B,2,0),E159,1),"")</f>
        <v>V</v>
      </c>
      <c r="E159" s="3">
        <v>31</v>
      </c>
      <c r="F159" s="3" t="str">
        <f>IFERROR(MID(VLOOKUP($B159,Seqs!$A:$B,2,0),G159,1),"")</f>
        <v>K</v>
      </c>
      <c r="G159" s="3">
        <v>60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66</v>
      </c>
      <c r="N159" s="3" t="str">
        <f>IFERROR(MID(VLOOKUP($B159,Seqs!$A:$B,2,0),O159,1),"")</f>
        <v>K</v>
      </c>
      <c r="O159" s="3">
        <v>97</v>
      </c>
      <c r="P159" s="3" t="str">
        <f>IFERROR(MID(VLOOKUP($B159,Seqs!$A:$B,2,0),Q159,1),"")</f>
        <v>M</v>
      </c>
      <c r="Q159" s="3">
        <v>98</v>
      </c>
      <c r="R159" s="3" t="str">
        <f>IFERROR(MID(VLOOKUP($B159,Seqs!$A:$B,2,0),S159,1),"")</f>
        <v>F</v>
      </c>
      <c r="S159" s="3">
        <v>101</v>
      </c>
      <c r="T159" s="3" t="str">
        <f>IFERROR(MID(VLOOKUP($B159,Seqs!$A:$B,2,0),U159,1),"")</f>
        <v>G</v>
      </c>
      <c r="U159" s="3">
        <v>102</v>
      </c>
      <c r="V159" s="3" t="str">
        <f>IFERROR(MID(VLOOKUP($B159,Seqs!$A:$B,2,0),W159,1),"")</f>
        <v>S</v>
      </c>
      <c r="W159" s="3">
        <v>137</v>
      </c>
      <c r="X159" s="3" t="str">
        <f>IFERROR(MID(VLOOKUP($B159,Seqs!$A:$B,2,0),Y159,1),"")</f>
        <v>P</v>
      </c>
      <c r="Y159" s="3">
        <v>138</v>
      </c>
      <c r="Z159" s="3" t="str">
        <f>IFERROR(MID(VLOOKUP($B159,Seqs!$A:$B,2,0),AA159,1),"")</f>
        <v>L</v>
      </c>
      <c r="AA159" s="3">
        <v>145</v>
      </c>
      <c r="AB159" s="3" t="str">
        <f>IFERROR(MID(VLOOKUP($B159,Seqs!$A:$B,2,0),AC159,1),"")</f>
        <v>T</v>
      </c>
      <c r="AC159" s="3">
        <v>146</v>
      </c>
      <c r="AD159" s="3" t="str">
        <f>IFERROR(MID(VLOOKUP($B159,Seqs!$A:$B,2,0),AE159,1),"")</f>
        <v>H</v>
      </c>
      <c r="AE159" s="3">
        <v>172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>N</v>
      </c>
      <c r="AK159" s="3">
        <v>196</v>
      </c>
      <c r="AL159" s="3" t="str">
        <f>IFERROR(MID(VLOOKUP($B159,Seqs!$A:$B,2,0),AM159,1),"")</f>
        <v>S</v>
      </c>
      <c r="AM159" s="3">
        <v>236</v>
      </c>
      <c r="AN159" s="3" t="str">
        <f>IFERROR(MID(VLOOKUP($B159,Seqs!$A:$B,2,0),AO159,1),"")</f>
        <v>C</v>
      </c>
      <c r="AO159" s="3">
        <v>265</v>
      </c>
      <c r="AP159" s="3" t="str">
        <f>IFERROR(MID(VLOOKUP($B159,Seqs!$A:$B,2,0),AQ159,1),"")</f>
        <v>Q</v>
      </c>
      <c r="AQ159" s="3">
        <v>299</v>
      </c>
      <c r="AR159" s="3" t="str">
        <f>IFERROR(MID(VLOOKUP($B159,Seqs!$A:$B,2,0),AS159,1),"")</f>
        <v>R</v>
      </c>
      <c r="AS159" s="3">
        <v>304</v>
      </c>
      <c r="AT159" s="3" t="str">
        <f>IFERROR(MID(VLOOKUP($B159,Seqs!$A:$B,2,0),AU159,1),"")</f>
        <v>C</v>
      </c>
      <c r="AU159" s="3">
        <v>327</v>
      </c>
      <c r="AV159" s="3" t="str">
        <f>IFERROR(MID(VLOOKUP($B159,Seqs!$A:$B,2,0),AW159,1),"")</f>
        <v>S</v>
      </c>
      <c r="AW159" s="3">
        <v>329</v>
      </c>
      <c r="AX159" s="3" t="str">
        <f>IFERROR(MID(VLOOKUP($B159,Seqs!$A:$B,2,0),AY159,1),"")</f>
        <v>L</v>
      </c>
      <c r="AY159" s="3">
        <v>340</v>
      </c>
      <c r="AZ159" s="77" t="str">
        <f>VLOOKUP(B159,Classification!A:D,2,0)</f>
        <v>A</v>
      </c>
      <c r="BA159" s="94" t="str">
        <f>VLOOKUP(B159,Classification!A:D,4,0)</f>
        <v>Adrenoceptors</v>
      </c>
      <c r="BB159" s="27" t="b">
        <f t="shared" si="1234"/>
        <v>1</v>
      </c>
      <c r="BC159" s="23">
        <f t="shared" si="1235"/>
        <v>251</v>
      </c>
      <c r="BD159" s="74" t="s">
        <v>23</v>
      </c>
      <c r="BE159" s="3" t="s">
        <v>1287</v>
      </c>
      <c r="BF159" s="118">
        <v>3.8</v>
      </c>
      <c r="BG159" s="49" t="s">
        <v>1418</v>
      </c>
      <c r="BH159" s="49" t="s">
        <v>1418</v>
      </c>
      <c r="BI159" s="1"/>
      <c r="BJ159" s="70" t="s">
        <v>1283</v>
      </c>
      <c r="BK159" s="57" t="s">
        <v>1283</v>
      </c>
      <c r="BL159" s="57" t="s">
        <v>1283</v>
      </c>
      <c r="BM159" s="57" t="s">
        <v>1283</v>
      </c>
      <c r="BN159" s="57" t="s">
        <v>1283</v>
      </c>
      <c r="BO159" s="57" t="s">
        <v>1283</v>
      </c>
      <c r="BP159" s="57" t="s">
        <v>1283</v>
      </c>
      <c r="BQ159" s="57" t="s">
        <v>1283</v>
      </c>
      <c r="BR159" s="57" t="s">
        <v>1283</v>
      </c>
      <c r="BS159" s="57" t="s">
        <v>1283</v>
      </c>
      <c r="BT159" s="57" t="s">
        <v>1283</v>
      </c>
      <c r="BU159" s="57" t="s">
        <v>1283</v>
      </c>
      <c r="BV159" s="70">
        <f t="shared" si="1236"/>
        <v>31</v>
      </c>
      <c r="BW159" s="71" t="str">
        <f t="shared" si="1237"/>
        <v>-</v>
      </c>
      <c r="BX159" s="72">
        <f t="shared" si="1238"/>
        <v>66</v>
      </c>
      <c r="BY159" s="71">
        <f t="shared" si="1239"/>
        <v>98</v>
      </c>
      <c r="BZ159" s="72">
        <f t="shared" si="1240"/>
        <v>102</v>
      </c>
      <c r="CA159" s="71">
        <f t="shared" si="1241"/>
        <v>138</v>
      </c>
      <c r="CB159" s="72">
        <f t="shared" si="1242"/>
        <v>146</v>
      </c>
      <c r="CC159" s="71" t="str">
        <f t="shared" si="1243"/>
        <v>-</v>
      </c>
      <c r="CD159" s="72">
        <f t="shared" si="1244"/>
        <v>196</v>
      </c>
      <c r="CE159" s="71">
        <f t="shared" si="1245"/>
        <v>265</v>
      </c>
      <c r="CF159" s="72">
        <f t="shared" si="1246"/>
        <v>304</v>
      </c>
      <c r="CG159" s="71">
        <f t="shared" si="1247"/>
        <v>329</v>
      </c>
      <c r="CH159" s="70">
        <f t="shared" si="1248"/>
        <v>60</v>
      </c>
      <c r="CI159" s="71" t="str">
        <f t="shared" si="1249"/>
        <v>-</v>
      </c>
      <c r="CJ159" s="72">
        <f t="shared" si="1250"/>
        <v>97</v>
      </c>
      <c r="CK159" s="72">
        <f t="shared" si="1251"/>
        <v>101</v>
      </c>
      <c r="CL159" s="72">
        <f t="shared" si="1252"/>
        <v>137</v>
      </c>
      <c r="CM159" s="72">
        <f t="shared" si="1253"/>
        <v>145</v>
      </c>
      <c r="CN159" s="72">
        <f t="shared" si="1254"/>
        <v>172</v>
      </c>
      <c r="CO159" s="72" t="str">
        <f t="shared" si="1255"/>
        <v>-</v>
      </c>
      <c r="CP159" s="72">
        <f t="shared" si="1256"/>
        <v>236</v>
      </c>
      <c r="CQ159" s="72">
        <f t="shared" si="1257"/>
        <v>299</v>
      </c>
      <c r="CR159" s="72">
        <f t="shared" si="1258"/>
        <v>327</v>
      </c>
      <c r="CS159" s="72">
        <f t="shared" si="1259"/>
        <v>340</v>
      </c>
      <c r="CT159" s="23" t="e">
        <f t="shared" si="1260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s="12" customFormat="1" x14ac:dyDescent="0.2">
      <c r="A160" s="9" t="str">
        <f>CONCATENATE(B160,"_",C160)</f>
        <v>adrb2_human_7BZ2</v>
      </c>
      <c r="B160" s="9" t="s">
        <v>126</v>
      </c>
      <c r="C160" s="9" t="s">
        <v>1721</v>
      </c>
      <c r="D160" s="9" t="str">
        <f>IFERROR(MID(VLOOKUP($B160,Seqs!$A:$B,2,0),E160,1),"")</f>
        <v>V</v>
      </c>
      <c r="E160" s="9">
        <v>31</v>
      </c>
      <c r="F160" s="9" t="str">
        <f>IFERROR(MID(VLOOKUP($B160,Seqs!$A:$B,2,0),G160,1),"")</f>
        <v>A</v>
      </c>
      <c r="G160" s="9">
        <v>59</v>
      </c>
      <c r="H160" s="9" t="str">
        <f>IFERROR(MID(VLOOKUP($B160,Seqs!$A:$B,2,0),I160,1),"")</f>
        <v/>
      </c>
      <c r="I160" s="109" t="s">
        <v>23</v>
      </c>
      <c r="J160" s="9" t="str">
        <f>IFERROR(MID(VLOOKUP($B160,Seqs!$A:$B,2,0),K160,1),"")</f>
        <v/>
      </c>
      <c r="K160" s="109" t="s">
        <v>23</v>
      </c>
      <c r="L160" s="9" t="str">
        <f>IFERROR(MID(VLOOKUP($B160,Seqs!$A:$B,2,0),M160,1),"")</f>
        <v>T</v>
      </c>
      <c r="M160" s="9">
        <v>66</v>
      </c>
      <c r="N160" s="9" t="str">
        <f>IFERROR(MID(VLOOKUP($B160,Seqs!$A:$B,2,0),O160,1),"")</f>
        <v>K</v>
      </c>
      <c r="O160" s="9">
        <v>97</v>
      </c>
      <c r="P160" s="9" t="str">
        <f>IFERROR(MID(VLOOKUP($B160,Seqs!$A:$B,2,0),Q160,1),"")</f>
        <v>M</v>
      </c>
      <c r="Q160" s="9">
        <v>98</v>
      </c>
      <c r="R160" s="9" t="str">
        <f>IFERROR(MID(VLOOKUP($B160,Seqs!$A:$B,2,0),S160,1),"")</f>
        <v>F</v>
      </c>
      <c r="S160" s="9">
        <v>101</v>
      </c>
      <c r="T160" s="9" t="str">
        <f>IFERROR(MID(VLOOKUP($B160,Seqs!$A:$B,2,0),U160,1),"")</f>
        <v>N</v>
      </c>
      <c r="U160" s="9">
        <v>103</v>
      </c>
      <c r="V160" s="9" t="str">
        <f>IFERROR(MID(VLOOKUP($B160,Seqs!$A:$B,2,0),W160,1),"")</f>
        <v>S</v>
      </c>
      <c r="W160" s="9">
        <v>137</v>
      </c>
      <c r="X160" s="9" t="str">
        <f>IFERROR(MID(VLOOKUP($B160,Seqs!$A:$B,2,0),Y160,1),"")</f>
        <v>P</v>
      </c>
      <c r="Y160" s="9">
        <v>138</v>
      </c>
      <c r="Z160" s="9" t="str">
        <f>IFERROR(MID(VLOOKUP($B160,Seqs!$A:$B,2,0),AA160,1),"")</f>
        <v>L</v>
      </c>
      <c r="AA160" s="9">
        <v>145</v>
      </c>
      <c r="AB160" s="9" t="str">
        <f>IFERROR(MID(VLOOKUP($B160,Seqs!$A:$B,2,0),AC160,1),"")</f>
        <v>T</v>
      </c>
      <c r="AC160" s="9">
        <v>146</v>
      </c>
      <c r="AD160" s="9" t="str">
        <f>IFERROR(MID(VLOOKUP($B160,Seqs!$A:$B,2,0),AE160,1),"")</f>
        <v>M</v>
      </c>
      <c r="AE160" s="9">
        <v>171</v>
      </c>
      <c r="AF160" s="9" t="str">
        <f>IFERROR(MID(VLOOKUP($B160,Seqs!$A:$B,2,0),AG160,1),"")</f>
        <v/>
      </c>
      <c r="AG160" s="9" t="s">
        <v>23</v>
      </c>
      <c r="AH160" s="9" t="str">
        <f>IFERROR(MID(VLOOKUP($B160,Seqs!$A:$B,2,0),AI160,1),"")</f>
        <v/>
      </c>
      <c r="AI160" s="9" t="s">
        <v>23</v>
      </c>
      <c r="AJ160" s="9" t="str">
        <f>IFERROR(MID(VLOOKUP($B160,Seqs!$A:$B,2,0),AK160,1),"")</f>
        <v>N</v>
      </c>
      <c r="AK160" s="9">
        <v>196</v>
      </c>
      <c r="AL160" s="9" t="str">
        <f>IFERROR(MID(VLOOKUP($B160,Seqs!$A:$B,2,0),AM160,1),"")</f>
        <v>E</v>
      </c>
      <c r="AM160" s="9">
        <v>237</v>
      </c>
      <c r="AN160" s="9" t="str">
        <f>IFERROR(MID(VLOOKUP($B160,Seqs!$A:$B,2,0),AO160,1),"")</f>
        <v>K</v>
      </c>
      <c r="AO160" s="9">
        <v>270</v>
      </c>
      <c r="AP160" s="9" t="str">
        <f>IFERROR(MID(VLOOKUP($B160,Seqs!$A:$B,2,0),AQ160,1),"")</f>
        <v>Q</v>
      </c>
      <c r="AQ160" s="9">
        <v>299</v>
      </c>
      <c r="AR160" s="9" t="str">
        <f>IFERROR(MID(VLOOKUP($B160,Seqs!$A:$B,2,0),AS160,1),"")</f>
        <v>R</v>
      </c>
      <c r="AS160" s="9">
        <v>304</v>
      </c>
      <c r="AT160" s="9" t="str">
        <f>IFERROR(MID(VLOOKUP($B160,Seqs!$A:$B,2,0),AU160,1),"")</f>
        <v>Y</v>
      </c>
      <c r="AU160" s="9">
        <v>326</v>
      </c>
      <c r="AV160" s="9" t="str">
        <f>IFERROR(MID(VLOOKUP($B160,Seqs!$A:$B,2,0),AW160,1),"")</f>
        <v>S</v>
      </c>
      <c r="AW160" s="9">
        <v>329</v>
      </c>
      <c r="AX160" s="9" t="str">
        <f>IFERROR(MID(VLOOKUP($B160,Seqs!$A:$B,2,0),AY160,1),"")</f>
        <v>Q</v>
      </c>
      <c r="AY160" s="9">
        <v>337</v>
      </c>
      <c r="AZ160" s="110" t="str">
        <f>VLOOKUP(B160,Classification!A:D,2,0)</f>
        <v>A</v>
      </c>
      <c r="BA160" s="98" t="str">
        <f>VLOOKUP(B160,Classification!A:D,4,0)</f>
        <v>Adrenoceptors</v>
      </c>
      <c r="BB160" s="36" t="b">
        <f t="shared" ref="BB160" si="1288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09">
        <f t="shared" ref="BC160" si="1289">_xlfn.AGGREGATE(9,6,CH160:CS160)-_xlfn.AGGREGATE(9,6,BV160:CG160)+12</f>
        <v>240</v>
      </c>
      <c r="BD160" s="136" t="s">
        <v>23</v>
      </c>
      <c r="BE160" s="9" t="s">
        <v>1287</v>
      </c>
      <c r="BF160" s="119">
        <v>3.82</v>
      </c>
      <c r="BG160" s="51" t="s">
        <v>1418</v>
      </c>
      <c r="BH160" s="51" t="s">
        <v>1418</v>
      </c>
      <c r="BJ160" s="111" t="s">
        <v>1283</v>
      </c>
      <c r="BK160" s="112" t="s">
        <v>1283</v>
      </c>
      <c r="BL160" s="112" t="s">
        <v>1283</v>
      </c>
      <c r="BM160" s="112" t="s">
        <v>1283</v>
      </c>
      <c r="BN160" s="112" t="s">
        <v>1283</v>
      </c>
      <c r="BO160" s="112" t="s">
        <v>1283</v>
      </c>
      <c r="BP160" s="112" t="s">
        <v>1283</v>
      </c>
      <c r="BQ160" s="112" t="s">
        <v>1283</v>
      </c>
      <c r="BR160" s="112" t="s">
        <v>1283</v>
      </c>
      <c r="BS160" s="112" t="s">
        <v>1283</v>
      </c>
      <c r="BT160" s="112" t="s">
        <v>1283</v>
      </c>
      <c r="BU160" s="112" t="s">
        <v>1283</v>
      </c>
      <c r="BV160" s="111">
        <f t="shared" ref="BV160" si="1290">E160</f>
        <v>31</v>
      </c>
      <c r="BW160" s="113" t="str">
        <f t="shared" ref="BW160" si="1291">I160</f>
        <v>-</v>
      </c>
      <c r="BX160" s="114">
        <f t="shared" ref="BX160" si="1292">M160</f>
        <v>66</v>
      </c>
      <c r="BY160" s="113">
        <f t="shared" ref="BY160" si="1293">Q160</f>
        <v>98</v>
      </c>
      <c r="BZ160" s="114">
        <f t="shared" ref="BZ160" si="1294">U160</f>
        <v>103</v>
      </c>
      <c r="CA160" s="113">
        <f t="shared" ref="CA160" si="1295">Y160</f>
        <v>138</v>
      </c>
      <c r="CB160" s="114">
        <f t="shared" ref="CB160" si="1296">AC160</f>
        <v>146</v>
      </c>
      <c r="CC160" s="113" t="str">
        <f t="shared" ref="CC160" si="1297">AG160</f>
        <v>-</v>
      </c>
      <c r="CD160" s="114">
        <f t="shared" ref="CD160" si="1298">AK160</f>
        <v>196</v>
      </c>
      <c r="CE160" s="113">
        <f t="shared" ref="CE160" si="1299">AO160</f>
        <v>270</v>
      </c>
      <c r="CF160" s="114">
        <f t="shared" ref="CF160" si="1300">AS160</f>
        <v>304</v>
      </c>
      <c r="CG160" s="113">
        <f t="shared" ref="CG160" si="1301">AW160</f>
        <v>329</v>
      </c>
      <c r="CH160" s="111">
        <f t="shared" ref="CH160" si="1302">G160</f>
        <v>59</v>
      </c>
      <c r="CI160" s="113" t="str">
        <f t="shared" ref="CI160" si="1303">K160</f>
        <v>-</v>
      </c>
      <c r="CJ160" s="114">
        <f t="shared" ref="CJ160" si="1304">O160</f>
        <v>97</v>
      </c>
      <c r="CK160" s="114">
        <f t="shared" ref="CK160" si="1305">S160</f>
        <v>101</v>
      </c>
      <c r="CL160" s="114">
        <f t="shared" ref="CL160" si="1306">W160</f>
        <v>137</v>
      </c>
      <c r="CM160" s="114">
        <f t="shared" ref="CM160" si="1307">AA160</f>
        <v>145</v>
      </c>
      <c r="CN160" s="114">
        <f t="shared" ref="CN160" si="1308">AE160</f>
        <v>171</v>
      </c>
      <c r="CO160" s="114" t="str">
        <f t="shared" ref="CO160" si="1309">AI160</f>
        <v>-</v>
      </c>
      <c r="CP160" s="114">
        <f t="shared" ref="CP160" si="1310">AM160</f>
        <v>237</v>
      </c>
      <c r="CQ160" s="114">
        <f t="shared" ref="CQ160" si="1311">AQ160</f>
        <v>299</v>
      </c>
      <c r="CR160" s="114">
        <f t="shared" ref="CR160" si="1312">AU160</f>
        <v>326</v>
      </c>
      <c r="CS160" s="114">
        <f t="shared" ref="CS160" si="1313">AY160</f>
        <v>337</v>
      </c>
      <c r="CT160" s="109" t="e">
        <f t="shared" ref="CT160" si="1314">M160-K160</f>
        <v>#VALUE!</v>
      </c>
    </row>
    <row r="161" spans="1:1029" x14ac:dyDescent="0.2">
      <c r="A161" s="3" t="str">
        <f t="shared" si="1231"/>
        <v>agtr1_human__wt</v>
      </c>
      <c r="B161" s="3" t="s">
        <v>158</v>
      </c>
      <c r="C161" s="3" t="s">
        <v>100</v>
      </c>
      <c r="D161" s="3" t="str">
        <f>IFERROR(MID(VLOOKUP($B161,Seqs!$A:$B,2,0),E161,1),"")</f>
        <v>H</v>
      </c>
      <c r="E161" s="3">
        <v>24</v>
      </c>
      <c r="F161" s="3" t="str">
        <f>IFERROR(MID(VLOOKUP($B161,Seqs!$A:$B,2,0),G161,1),"")</f>
        <v>Y</v>
      </c>
      <c r="G161" s="3">
        <v>56</v>
      </c>
      <c r="H161" s="3" t="str">
        <f>IFERROR(MID(VLOOKUP($B161,Seqs!$A:$B,2,0),I161,1),"")</f>
        <v>M</v>
      </c>
      <c r="I161" s="23">
        <v>57</v>
      </c>
      <c r="J161" s="3" t="str">
        <f>IFERROR(MID(VLOOKUP($B161,Seqs!$A:$B,2,0),K161,1),"")</f>
        <v>K</v>
      </c>
      <c r="K161" s="23">
        <v>60</v>
      </c>
      <c r="L161" s="3" t="str">
        <f>IFERROR(MID(VLOOKUP($B161,Seqs!$A:$B,2,0),M161,1),"")</f>
        <v>T</v>
      </c>
      <c r="M161" s="3">
        <v>61</v>
      </c>
      <c r="N161" s="3" t="str">
        <f>IFERROR(MID(VLOOKUP($B161,Seqs!$A:$B,2,0),O161,1),"")</f>
        <v>E</v>
      </c>
      <c r="O161" s="3">
        <v>91</v>
      </c>
      <c r="P161" s="3" t="str">
        <f>IFERROR(MID(VLOOKUP($B161,Seqs!$A:$B,2,0),Q161,1),"")</f>
        <v>R</v>
      </c>
      <c r="Q161" s="3">
        <v>93</v>
      </c>
      <c r="R161" s="3" t="str">
        <f>IFERROR(MID(VLOOKUP($B161,Seqs!$A:$B,2,0),S161,1),"")</f>
        <v>F</v>
      </c>
      <c r="S161" s="3">
        <v>96</v>
      </c>
      <c r="T161" s="3" t="str">
        <f>IFERROR(MID(VLOOKUP($B161,Seqs!$A:$B,2,0),U161,1),"")</f>
        <v>G</v>
      </c>
      <c r="U161" s="3">
        <v>97</v>
      </c>
      <c r="V161" s="3" t="str">
        <f>IFERROR(MID(VLOOKUP($B161,Seqs!$A:$B,2,0),W161,1),"")</f>
        <v>H</v>
      </c>
      <c r="W161" s="3">
        <v>132</v>
      </c>
      <c r="X161" s="3" t="str">
        <f>IFERROR(MID(VLOOKUP($B161,Seqs!$A:$B,2,0),Y161,1),"")</f>
        <v>P</v>
      </c>
      <c r="Y161" s="3">
        <v>133</v>
      </c>
      <c r="Z161" s="3" t="str">
        <f>IFERROR(MID(VLOOKUP($B161,Seqs!$A:$B,2,0),AA161,1),"")</f>
        <v>R</v>
      </c>
      <c r="AA161" s="3">
        <v>140</v>
      </c>
      <c r="AB161" s="3" t="str">
        <f>IFERROR(MID(VLOOKUP($B161,Seqs!$A:$B,2,0),AC161,1),"")</f>
        <v>T</v>
      </c>
      <c r="AC161" s="3">
        <v>141</v>
      </c>
      <c r="AD161" s="3" t="str">
        <f>IFERROR(MID(VLOOKUP($B161,Seqs!$A:$B,2,0),AE161,1),"")</f>
        <v>R</v>
      </c>
      <c r="AE161" s="3">
        <v>167</v>
      </c>
      <c r="AF161" s="3" t="str">
        <f>IFERROR(MID(VLOOKUP($B161,Seqs!$A:$B,2,0),AG161,1),"")</f>
        <v>C</v>
      </c>
      <c r="AG161" s="3">
        <v>180</v>
      </c>
      <c r="AH161" s="3" t="str">
        <f>IFERROR(MID(VLOOKUP($B161,Seqs!$A:$B,2,0),AI161,1),"")</f>
        <v>F</v>
      </c>
      <c r="AI161" s="3">
        <v>182</v>
      </c>
      <c r="AJ161" s="3" t="str">
        <f>IFERROR(MID(VLOOKUP($B161,Seqs!$A:$B,2,0),AK161,1),"")</f>
        <v>L</v>
      </c>
      <c r="AK161" s="3">
        <v>191</v>
      </c>
      <c r="AL161" s="3" t="str">
        <f>IFERROR(MID(VLOOKUP($B161,Seqs!$A:$B,2,0),AM161,1),"")</f>
        <v>A</v>
      </c>
      <c r="AM161" s="3">
        <v>225</v>
      </c>
      <c r="AN161" s="3" t="str">
        <f>IFERROR(MID(VLOOKUP($B161,Seqs!$A:$B,2,0),AO161,1),"")</f>
        <v>P</v>
      </c>
      <c r="AO161" s="3">
        <v>233</v>
      </c>
      <c r="AP161" s="3" t="str">
        <f>IFERROR(MID(VLOOKUP($B161,Seqs!$A:$B,2,0),AQ161,1),"")</f>
        <v>G</v>
      </c>
      <c r="AQ161" s="3">
        <v>269</v>
      </c>
      <c r="AR161" s="3" t="str">
        <f>IFERROR(MID(VLOOKUP($B161,Seqs!$A:$B,2,0),AS161,1),"")</f>
        <v>D</v>
      </c>
      <c r="AS161" s="3">
        <v>273</v>
      </c>
      <c r="AT161" s="3" t="str">
        <f>IFERROR(MID(VLOOKUP($B161,Seqs!$A:$B,2,0),AU161,1),"")</f>
        <v>L</v>
      </c>
      <c r="AU161" s="3">
        <v>305</v>
      </c>
      <c r="AV161" s="3" t="str">
        <f>IFERROR(MID(VLOOKUP($B161,Seqs!$A:$B,2,0),AW161,1),"")</f>
        <v>G</v>
      </c>
      <c r="AW161" s="3">
        <v>306</v>
      </c>
      <c r="AX161" s="3" t="str">
        <f>IFERROR(MID(VLOOKUP($B161,Seqs!$A:$B,2,0),AY161,1),"")</f>
        <v>I</v>
      </c>
      <c r="AY161" s="3">
        <v>320</v>
      </c>
      <c r="AZ161" s="77" t="str">
        <f>VLOOKUP(B161,Classification!A:D,2,0)</f>
        <v>A</v>
      </c>
      <c r="BA161" s="94" t="str">
        <f>VLOOKUP(B161,Classification!A:D,4,0)</f>
        <v>Angiotensin</v>
      </c>
      <c r="BB161" s="27" t="b">
        <f t="shared" si="1232"/>
        <v>1</v>
      </c>
      <c r="BC161" s="23">
        <f t="shared" si="981"/>
        <v>266</v>
      </c>
      <c r="BD161" s="56" t="s">
        <v>23</v>
      </c>
      <c r="BE161" s="3" t="s">
        <v>23</v>
      </c>
      <c r="BF161" s="118" t="s">
        <v>23</v>
      </c>
      <c r="BG161" s="49" t="s">
        <v>1368</v>
      </c>
      <c r="BH161" s="49" t="s">
        <v>1373</v>
      </c>
      <c r="BI161" s="1"/>
      <c r="BJ161" s="70" t="s">
        <v>1283</v>
      </c>
      <c r="BK161" s="57" t="s">
        <v>1283</v>
      </c>
      <c r="BL161" s="57" t="s">
        <v>1283</v>
      </c>
      <c r="BM161" s="57" t="s">
        <v>1283</v>
      </c>
      <c r="BN161" s="57" t="s">
        <v>1283</v>
      </c>
      <c r="BO161" s="57" t="s">
        <v>1283</v>
      </c>
      <c r="BP161" s="57" t="s">
        <v>1283</v>
      </c>
      <c r="BQ161" s="57" t="s">
        <v>1283</v>
      </c>
      <c r="BR161" s="57" t="s">
        <v>1283</v>
      </c>
      <c r="BS161" s="57" t="s">
        <v>1283</v>
      </c>
      <c r="BT161" s="57" t="s">
        <v>1283</v>
      </c>
      <c r="BU161" s="57" t="s">
        <v>1283</v>
      </c>
      <c r="BV161" s="70">
        <f t="shared" si="982"/>
        <v>24</v>
      </c>
      <c r="BW161" s="71">
        <f t="shared" si="983"/>
        <v>57</v>
      </c>
      <c r="BX161" s="72">
        <f t="shared" si="984"/>
        <v>61</v>
      </c>
      <c r="BY161" s="71">
        <f t="shared" si="985"/>
        <v>93</v>
      </c>
      <c r="BZ161" s="72">
        <f t="shared" si="986"/>
        <v>97</v>
      </c>
      <c r="CA161" s="71">
        <f t="shared" si="987"/>
        <v>133</v>
      </c>
      <c r="CB161" s="72">
        <f t="shared" si="988"/>
        <v>141</v>
      </c>
      <c r="CC161" s="71">
        <f t="shared" si="989"/>
        <v>180</v>
      </c>
      <c r="CD161" s="72">
        <f t="shared" si="990"/>
        <v>191</v>
      </c>
      <c r="CE161" s="71">
        <f t="shared" si="991"/>
        <v>233</v>
      </c>
      <c r="CF161" s="72">
        <f t="shared" si="992"/>
        <v>273</v>
      </c>
      <c r="CG161" s="71">
        <f t="shared" si="993"/>
        <v>306</v>
      </c>
      <c r="CH161" s="70">
        <f t="shared" si="994"/>
        <v>56</v>
      </c>
      <c r="CI161" s="71">
        <f t="shared" si="995"/>
        <v>60</v>
      </c>
      <c r="CJ161" s="72">
        <f t="shared" si="996"/>
        <v>91</v>
      </c>
      <c r="CK161" s="72">
        <f t="shared" si="997"/>
        <v>96</v>
      </c>
      <c r="CL161" s="72">
        <f t="shared" si="998"/>
        <v>132</v>
      </c>
      <c r="CM161" s="72">
        <f t="shared" si="999"/>
        <v>140</v>
      </c>
      <c r="CN161" s="72">
        <f t="shared" si="1000"/>
        <v>167</v>
      </c>
      <c r="CO161" s="72">
        <f t="shared" si="1001"/>
        <v>182</v>
      </c>
      <c r="CP161" s="72">
        <f t="shared" si="1002"/>
        <v>225</v>
      </c>
      <c r="CQ161" s="72">
        <f t="shared" si="1003"/>
        <v>269</v>
      </c>
      <c r="CR161" s="72">
        <f t="shared" si="1004"/>
        <v>305</v>
      </c>
      <c r="CS161" s="72">
        <f t="shared" si="1005"/>
        <v>320</v>
      </c>
      <c r="CT161" s="23">
        <f t="shared" si="1006"/>
        <v>1</v>
      </c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</row>
    <row r="162" spans="1:1029" x14ac:dyDescent="0.2">
      <c r="A162" s="3" t="str">
        <f t="shared" si="1231"/>
        <v>agtr1_human_4YAY</v>
      </c>
      <c r="B162" s="3" t="s">
        <v>158</v>
      </c>
      <c r="C162" s="3" t="s">
        <v>69</v>
      </c>
      <c r="D162" s="3" t="str">
        <f>IFERROR(MID(VLOOKUP($B162,Seqs!$A:$B,2,0),E162,1),"")</f>
        <v>Y</v>
      </c>
      <c r="E162" s="3">
        <v>26</v>
      </c>
      <c r="F162" s="3" t="str">
        <f>IFERROR(MID(VLOOKUP($B162,Seqs!$A:$B,2,0),G162,1),"")</f>
        <v>Y</v>
      </c>
      <c r="G162" s="3">
        <v>56</v>
      </c>
      <c r="H162" s="3" t="str">
        <f>IFERROR(MID(VLOOKUP($B162,Seqs!$A:$B,2,0),I162,1),"")</f>
        <v>M</v>
      </c>
      <c r="I162" s="23">
        <v>57</v>
      </c>
      <c r="J162" s="3" t="str">
        <f>IFERROR(MID(VLOOKUP($B162,Seqs!$A:$B,2,0),K162,1),"")</f>
        <v>K</v>
      </c>
      <c r="K162" s="23">
        <v>60</v>
      </c>
      <c r="L162" s="3" t="str">
        <f>IFERROR(MID(VLOOKUP($B162,Seqs!$A:$B,2,0),M162,1),"")</f>
        <v>T</v>
      </c>
      <c r="M162" s="3">
        <v>61</v>
      </c>
      <c r="N162" s="3" t="str">
        <f>IFERROR(MID(VLOOKUP($B162,Seqs!$A:$B,2,0),O162,1),"")</f>
        <v>E</v>
      </c>
      <c r="O162" s="3">
        <v>91</v>
      </c>
      <c r="P162" s="3" t="str">
        <f>IFERROR(MID(VLOOKUP($B162,Seqs!$A:$B,2,0),Q162,1),"")</f>
        <v>R</v>
      </c>
      <c r="Q162" s="3">
        <v>93</v>
      </c>
      <c r="R162" s="3" t="str">
        <f>IFERROR(MID(VLOOKUP($B162,Seqs!$A:$B,2,0),S162,1),"")</f>
        <v>F</v>
      </c>
      <c r="S162" s="3">
        <v>96</v>
      </c>
      <c r="T162" s="3" t="str">
        <f>IFERROR(MID(VLOOKUP($B162,Seqs!$A:$B,2,0),U162,1),"")</f>
        <v>G</v>
      </c>
      <c r="U162" s="3">
        <v>97</v>
      </c>
      <c r="V162" s="3" t="str">
        <f>IFERROR(MID(VLOOKUP($B162,Seqs!$A:$B,2,0),W162,1),"")</f>
        <v>H</v>
      </c>
      <c r="W162" s="3">
        <v>132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3">
        <v>137</v>
      </c>
      <c r="AD162" s="3" t="str">
        <f>IFERROR(MID(VLOOKUP($B162,Seqs!$A:$B,2,0),AE162,1),"")</f>
        <v>R</v>
      </c>
      <c r="AE162" s="3">
        <v>167</v>
      </c>
      <c r="AF162" s="3" t="str">
        <f>IFERROR(MID(VLOOKUP($B162,Seqs!$A:$B,2,0),AG162,1),"")</f>
        <v>C</v>
      </c>
      <c r="AG162" s="3">
        <v>180</v>
      </c>
      <c r="AH162" s="3" t="str">
        <f>IFERROR(MID(VLOOKUP($B162,Seqs!$A:$B,2,0),AI162,1),"")</f>
        <v>F</v>
      </c>
      <c r="AI162" s="3">
        <v>182</v>
      </c>
      <c r="AJ162" s="3" t="str">
        <f>IFERROR(MID(VLOOKUP($B162,Seqs!$A:$B,2,0),AK162,1),"")</f>
        <v>L</v>
      </c>
      <c r="AK162" s="3">
        <v>191</v>
      </c>
      <c r="AL162" s="3" t="str">
        <f>IFERROR(MID(VLOOKUP($B162,Seqs!$A:$B,2,0),AM162,1),"")</f>
        <v>L</v>
      </c>
      <c r="AM162" s="3">
        <v>222</v>
      </c>
      <c r="AN162" s="3" t="str">
        <f>IFERROR(MID(VLOOKUP($B162,Seqs!$A:$B,2,0),AO162,1),"")</f>
        <v>N</v>
      </c>
      <c r="AO162" s="3">
        <v>235</v>
      </c>
      <c r="AP162" s="3" t="str">
        <f>IFERROR(MID(VLOOKUP($B162,Seqs!$A:$B,2,0),AQ162,1),"")</f>
        <v>G</v>
      </c>
      <c r="AQ162" s="3">
        <v>269</v>
      </c>
      <c r="AR162" s="3" t="str">
        <f>IFERROR(MID(VLOOKUP($B162,Seqs!$A:$B,2,0),AS162,1),"")</f>
        <v>D</v>
      </c>
      <c r="AS162" s="3">
        <v>273</v>
      </c>
      <c r="AT162" s="3" t="str">
        <f>IFERROR(MID(VLOOKUP($B162,Seqs!$A:$B,2,0),AU162,1),"")</f>
        <v>N</v>
      </c>
      <c r="AU162" s="3">
        <v>298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Angiotensin</v>
      </c>
      <c r="BB162" s="27" t="b">
        <f t="shared" si="1232"/>
        <v>1</v>
      </c>
      <c r="BC162" s="23">
        <f t="shared" si="981"/>
        <v>235</v>
      </c>
      <c r="BD162" s="4" t="s">
        <v>23</v>
      </c>
      <c r="BE162" s="3" t="s">
        <v>1370</v>
      </c>
      <c r="BF162" s="118">
        <v>2.9</v>
      </c>
      <c r="BG162" s="49" t="s">
        <v>1373</v>
      </c>
      <c r="BH162" s="49" t="s">
        <v>1373</v>
      </c>
      <c r="BI162" s="1"/>
      <c r="BJ162" s="70" t="s">
        <v>1283</v>
      </c>
      <c r="BK162" s="57" t="s">
        <v>1283</v>
      </c>
      <c r="BL162" s="57" t="s">
        <v>1283</v>
      </c>
      <c r="BM162" s="57" t="s">
        <v>1283</v>
      </c>
      <c r="BN162" s="57" t="s">
        <v>1283</v>
      </c>
      <c r="BO162" s="57" t="s">
        <v>1283</v>
      </c>
      <c r="BP162" s="57" t="s">
        <v>1283</v>
      </c>
      <c r="BQ162" s="57" t="s">
        <v>1283</v>
      </c>
      <c r="BR162" s="57" t="s">
        <v>1283</v>
      </c>
      <c r="BS162" s="57" t="s">
        <v>1283</v>
      </c>
      <c r="BT162" s="57" t="s">
        <v>1283</v>
      </c>
      <c r="BU162" s="57" t="s">
        <v>1283</v>
      </c>
      <c r="BV162" s="70">
        <f t="shared" si="982"/>
        <v>26</v>
      </c>
      <c r="BW162" s="71">
        <f t="shared" si="983"/>
        <v>57</v>
      </c>
      <c r="BX162" s="72">
        <f t="shared" si="984"/>
        <v>61</v>
      </c>
      <c r="BY162" s="71">
        <f t="shared" si="985"/>
        <v>93</v>
      </c>
      <c r="BZ162" s="72">
        <f t="shared" si="986"/>
        <v>97</v>
      </c>
      <c r="CA162" s="71" t="str">
        <f t="shared" si="987"/>
        <v>-</v>
      </c>
      <c r="CB162" s="72">
        <f t="shared" si="988"/>
        <v>137</v>
      </c>
      <c r="CC162" s="71">
        <f t="shared" si="989"/>
        <v>180</v>
      </c>
      <c r="CD162" s="72">
        <f t="shared" si="990"/>
        <v>191</v>
      </c>
      <c r="CE162" s="71">
        <f t="shared" si="991"/>
        <v>235</v>
      </c>
      <c r="CF162" s="72">
        <f t="shared" si="992"/>
        <v>273</v>
      </c>
      <c r="CG162" s="71" t="str">
        <f t="shared" si="993"/>
        <v>-</v>
      </c>
      <c r="CH162" s="70">
        <f t="shared" si="994"/>
        <v>56</v>
      </c>
      <c r="CI162" s="71">
        <f t="shared" si="995"/>
        <v>60</v>
      </c>
      <c r="CJ162" s="72">
        <f t="shared" si="996"/>
        <v>91</v>
      </c>
      <c r="CK162" s="72">
        <f t="shared" si="997"/>
        <v>96</v>
      </c>
      <c r="CL162" s="72">
        <f t="shared" si="998"/>
        <v>132</v>
      </c>
      <c r="CM162" s="72" t="str">
        <f t="shared" si="999"/>
        <v>-</v>
      </c>
      <c r="CN162" s="72">
        <f t="shared" si="1000"/>
        <v>167</v>
      </c>
      <c r="CO162" s="72">
        <f t="shared" si="1001"/>
        <v>182</v>
      </c>
      <c r="CP162" s="72">
        <f t="shared" si="1002"/>
        <v>222</v>
      </c>
      <c r="CQ162" s="72">
        <f t="shared" si="1003"/>
        <v>269</v>
      </c>
      <c r="CR162" s="72">
        <f t="shared" si="1004"/>
        <v>298</v>
      </c>
      <c r="CS162" s="72" t="str">
        <f t="shared" si="1005"/>
        <v>-</v>
      </c>
      <c r="CT162" s="23">
        <f t="shared" si="1006"/>
        <v>1</v>
      </c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</row>
    <row r="163" spans="1:1029" x14ac:dyDescent="0.2">
      <c r="A163" s="3" t="str">
        <f t="shared" si="1231"/>
        <v>agtr1_human_4YAY_dist</v>
      </c>
      <c r="B163" s="3" t="s">
        <v>158</v>
      </c>
      <c r="C163" s="3" t="s">
        <v>1155</v>
      </c>
      <c r="D163" s="3" t="str">
        <f>IFERROR(MID(VLOOKUP($B163,Seqs!$A:$B,2,0),E163,1),"")</f>
        <v>Y</v>
      </c>
      <c r="E163" s="3">
        <v>26</v>
      </c>
      <c r="F163" s="3" t="str">
        <f>IFERROR(MID(VLOOKUP($B163,Seqs!$A:$B,2,0),G163,1),"")</f>
        <v>Y</v>
      </c>
      <c r="G163" s="3">
        <v>56</v>
      </c>
      <c r="H163" s="3" t="str">
        <f>IFERROR(MID(VLOOKUP($B163,Seqs!$A:$B,2,0),I163,1),"")</f>
        <v>M</v>
      </c>
      <c r="I163" s="23">
        <v>57</v>
      </c>
      <c r="J163" s="3" t="str">
        <f>IFERROR(MID(VLOOKUP($B163,Seqs!$A:$B,2,0),K163,1),"")</f>
        <v>K</v>
      </c>
      <c r="K163" s="23">
        <v>60</v>
      </c>
      <c r="L163" s="3" t="str">
        <f>IFERROR(MID(VLOOKUP($B163,Seqs!$A:$B,2,0),M163,1),"")</f>
        <v>T</v>
      </c>
      <c r="M163" s="3">
        <v>61</v>
      </c>
      <c r="N163" s="3" t="str">
        <f>IFERROR(MID(VLOOKUP($B163,Seqs!$A:$B,2,0),O163,1),"")</f>
        <v>E</v>
      </c>
      <c r="O163" s="3">
        <v>91</v>
      </c>
      <c r="P163" s="3" t="str">
        <f>IFERROR(MID(VLOOKUP($B163,Seqs!$A:$B,2,0),Q163,1),"")</f>
        <v>R</v>
      </c>
      <c r="Q163" s="3">
        <v>93</v>
      </c>
      <c r="R163" s="3" t="str">
        <f>IFERROR(MID(VLOOKUP($B163,Seqs!$A:$B,2,0),S163,1),"")</f>
        <v>F</v>
      </c>
      <c r="S163" s="3">
        <v>96</v>
      </c>
      <c r="T163" s="3" t="str">
        <f>IFERROR(MID(VLOOKUP($B163,Seqs!$A:$B,2,0),U163,1),"")</f>
        <v>G</v>
      </c>
      <c r="U163" s="3">
        <v>97</v>
      </c>
      <c r="V163" s="3" t="str">
        <f>IFERROR(MID(VLOOKUP($B163,Seqs!$A:$B,2,0),W163,1),"")</f>
        <v>H</v>
      </c>
      <c r="W163" s="3">
        <v>132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R</v>
      </c>
      <c r="AC163" s="3">
        <v>137</v>
      </c>
      <c r="AD163" s="3" t="str">
        <f>IFERROR(MID(VLOOKUP($B163,Seqs!$A:$B,2,0),AE163,1),"")</f>
        <v>R</v>
      </c>
      <c r="AE163" s="3">
        <v>167</v>
      </c>
      <c r="AF163" s="3" t="str">
        <f>IFERROR(MID(VLOOKUP($B163,Seqs!$A:$B,2,0),AG163,1),"")</f>
        <v>C</v>
      </c>
      <c r="AG163" s="3">
        <v>180</v>
      </c>
      <c r="AH163" s="3" t="str">
        <f>IFERROR(MID(VLOOKUP($B163,Seqs!$A:$B,2,0),AI163,1),"")</f>
        <v>F</v>
      </c>
      <c r="AI163" s="3">
        <v>182</v>
      </c>
      <c r="AJ163" s="3" t="str">
        <f>IFERROR(MID(VLOOKUP($B163,Seqs!$A:$B,2,0),AK163,1),"")</f>
        <v>L</v>
      </c>
      <c r="AK163" s="3">
        <v>191</v>
      </c>
      <c r="AL163" s="3" t="str">
        <f>IFERROR(MID(VLOOKUP($B163,Seqs!$A:$B,2,0),AM163,1),"")</f>
        <v>L</v>
      </c>
      <c r="AM163" s="3">
        <v>222</v>
      </c>
      <c r="AN163" s="3" t="str">
        <f>IFERROR(MID(VLOOKUP($B163,Seqs!$A:$B,2,0),AO163,1),"")</f>
        <v>N</v>
      </c>
      <c r="AO163" s="3">
        <v>235</v>
      </c>
      <c r="AP163" s="3" t="str">
        <f>IFERROR(MID(VLOOKUP($B163,Seqs!$A:$B,2,0),AQ163,1),"")</f>
        <v>G</v>
      </c>
      <c r="AQ163" s="3">
        <v>269</v>
      </c>
      <c r="AR163" s="3" t="str">
        <f>IFERROR(MID(VLOOKUP($B163,Seqs!$A:$B,2,0),AS163,1),"")</f>
        <v>D</v>
      </c>
      <c r="AS163" s="3">
        <v>273</v>
      </c>
      <c r="AT163" s="3" t="str">
        <f>IFERROR(MID(VLOOKUP($B163,Seqs!$A:$B,2,0),AU163,1),"")</f>
        <v>F</v>
      </c>
      <c r="AU163" s="3">
        <v>304</v>
      </c>
      <c r="AV163" s="3" t="str">
        <f>IFERROR(MID(VLOOKUP($B163,Seqs!$A:$B,2,0),AW163,1),"")</f>
        <v>G</v>
      </c>
      <c r="AW163" s="3">
        <v>306</v>
      </c>
      <c r="AX163" s="3" t="str">
        <f>IFERROR(MID(VLOOKUP($B163,Seqs!$A:$B,2,0),AY163,1),"")</f>
        <v>L</v>
      </c>
      <c r="AY163" s="3">
        <v>317</v>
      </c>
      <c r="AZ163" s="77" t="str">
        <f>VLOOKUP(B163,Classification!A:D,2,0)</f>
        <v>A</v>
      </c>
      <c r="BA163" s="94" t="str">
        <f>VLOOKUP(B163,Classification!A:D,4,0)</f>
        <v>Angiotensin</v>
      </c>
      <c r="BB163" s="27" t="b">
        <f t="shared" si="1232"/>
        <v>1</v>
      </c>
      <c r="BC163" s="23">
        <f t="shared" si="981"/>
        <v>252</v>
      </c>
      <c r="BD163" s="5"/>
      <c r="BE163" s="3" t="s">
        <v>1370</v>
      </c>
      <c r="BF163" s="118">
        <v>2.9</v>
      </c>
      <c r="BG163" s="49" t="s">
        <v>1373</v>
      </c>
      <c r="BH163" s="49" t="s">
        <v>1373</v>
      </c>
      <c r="BI163" s="1"/>
      <c r="BJ163" s="70" t="s">
        <v>1283</v>
      </c>
      <c r="BK163" s="57" t="s">
        <v>1283</v>
      </c>
      <c r="BL163" s="57" t="s">
        <v>1283</v>
      </c>
      <c r="BM163" s="57" t="s">
        <v>1283</v>
      </c>
      <c r="BN163" s="57" t="s">
        <v>1283</v>
      </c>
      <c r="BO163" s="57" t="s">
        <v>1283</v>
      </c>
      <c r="BP163" s="57" t="s">
        <v>1283</v>
      </c>
      <c r="BQ163" s="57" t="s">
        <v>1283</v>
      </c>
      <c r="BR163" s="57" t="s">
        <v>1283</v>
      </c>
      <c r="BS163" s="57" t="s">
        <v>1283</v>
      </c>
      <c r="BT163" s="57" t="s">
        <v>1283</v>
      </c>
      <c r="BU163" s="57" t="s">
        <v>1283</v>
      </c>
      <c r="BV163" s="70">
        <f t="shared" si="982"/>
        <v>26</v>
      </c>
      <c r="BW163" s="71">
        <f t="shared" si="983"/>
        <v>57</v>
      </c>
      <c r="BX163" s="72">
        <f t="shared" si="984"/>
        <v>61</v>
      </c>
      <c r="BY163" s="71">
        <f t="shared" si="985"/>
        <v>93</v>
      </c>
      <c r="BZ163" s="72">
        <f t="shared" si="986"/>
        <v>97</v>
      </c>
      <c r="CA163" s="71" t="str">
        <f t="shared" si="987"/>
        <v>-</v>
      </c>
      <c r="CB163" s="72">
        <f t="shared" si="988"/>
        <v>137</v>
      </c>
      <c r="CC163" s="71">
        <f t="shared" si="989"/>
        <v>180</v>
      </c>
      <c r="CD163" s="72">
        <f t="shared" si="990"/>
        <v>191</v>
      </c>
      <c r="CE163" s="71">
        <f t="shared" si="991"/>
        <v>235</v>
      </c>
      <c r="CF163" s="72">
        <f t="shared" si="992"/>
        <v>273</v>
      </c>
      <c r="CG163" s="71">
        <f t="shared" si="993"/>
        <v>306</v>
      </c>
      <c r="CH163" s="70">
        <f t="shared" si="994"/>
        <v>56</v>
      </c>
      <c r="CI163" s="71">
        <f t="shared" si="995"/>
        <v>60</v>
      </c>
      <c r="CJ163" s="72">
        <f t="shared" si="996"/>
        <v>91</v>
      </c>
      <c r="CK163" s="72">
        <f t="shared" si="997"/>
        <v>96</v>
      </c>
      <c r="CL163" s="72">
        <f t="shared" si="998"/>
        <v>132</v>
      </c>
      <c r="CM163" s="72" t="str">
        <f t="shared" si="999"/>
        <v>-</v>
      </c>
      <c r="CN163" s="72">
        <f t="shared" si="1000"/>
        <v>167</v>
      </c>
      <c r="CO163" s="72">
        <f t="shared" si="1001"/>
        <v>182</v>
      </c>
      <c r="CP163" s="72">
        <f t="shared" si="1002"/>
        <v>222</v>
      </c>
      <c r="CQ163" s="72">
        <f t="shared" si="1003"/>
        <v>269</v>
      </c>
      <c r="CR163" s="72">
        <f t="shared" si="1004"/>
        <v>304</v>
      </c>
      <c r="CS163" s="72">
        <f t="shared" si="1005"/>
        <v>317</v>
      </c>
      <c r="CT163" s="23">
        <f t="shared" si="1006"/>
        <v>1</v>
      </c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</row>
    <row r="164" spans="1:1029" x14ac:dyDescent="0.2">
      <c r="A164" s="3" t="str">
        <f t="shared" si="1231"/>
        <v>agtr1_human_4ZUD</v>
      </c>
      <c r="B164" s="3" t="s">
        <v>158</v>
      </c>
      <c r="C164" s="3" t="s">
        <v>1332</v>
      </c>
      <c r="D164" s="3" t="str">
        <f>IFERROR(MID(VLOOKUP($B164,Seqs!$A:$B,2,0),E164,1),"")</f>
        <v>H</v>
      </c>
      <c r="E164" s="3">
        <v>24</v>
      </c>
      <c r="F164" s="3" t="str">
        <f>IFERROR(MID(VLOOKUP($B164,Seqs!$A:$B,2,0),G164,1),"")</f>
        <v>Y</v>
      </c>
      <c r="G164" s="3">
        <v>56</v>
      </c>
      <c r="H164" s="3" t="str">
        <f>IFERROR(MID(VLOOKUP($B164,Seqs!$A:$B,2,0),I164,1),"")</f>
        <v>M</v>
      </c>
      <c r="I164" s="23">
        <v>57</v>
      </c>
      <c r="J164" s="3" t="str">
        <f>IFERROR(MID(VLOOKUP($B164,Seqs!$A:$B,2,0),K164,1),"")</f>
        <v>K</v>
      </c>
      <c r="K164" s="23">
        <v>60</v>
      </c>
      <c r="L164" s="3" t="str">
        <f>IFERROR(MID(VLOOKUP($B164,Seqs!$A:$B,2,0),M164,1),"")</f>
        <v>T</v>
      </c>
      <c r="M164" s="3">
        <v>61</v>
      </c>
      <c r="N164" s="3" t="str">
        <f>IFERROR(MID(VLOOKUP($B164,Seqs!$A:$B,2,0),O164,1),"")</f>
        <v>E</v>
      </c>
      <c r="O164" s="3">
        <v>91</v>
      </c>
      <c r="P164" s="3" t="str">
        <f>IFERROR(MID(VLOOKUP($B164,Seqs!$A:$B,2,0),Q164,1),"")</f>
        <v>R</v>
      </c>
      <c r="Q164" s="3">
        <v>93</v>
      </c>
      <c r="R164" s="3" t="str">
        <f>IFERROR(MID(VLOOKUP($B164,Seqs!$A:$B,2,0),S164,1),"")</f>
        <v>F</v>
      </c>
      <c r="S164" s="3">
        <v>96</v>
      </c>
      <c r="T164" s="3" t="str">
        <f>IFERROR(MID(VLOOKUP($B164,Seqs!$A:$B,2,0),U164,1),"")</f>
        <v>G</v>
      </c>
      <c r="U164" s="3">
        <v>97</v>
      </c>
      <c r="V164" s="3" t="str">
        <f>IFERROR(MID(VLOOKUP($B164,Seqs!$A:$B,2,0),W164,1),"")</f>
        <v>H</v>
      </c>
      <c r="W164" s="3">
        <v>132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M</v>
      </c>
      <c r="AC164" s="3">
        <v>142</v>
      </c>
      <c r="AD164" s="3" t="str">
        <f>IFERROR(MID(VLOOKUP($B164,Seqs!$A:$B,2,0),AE164,1),"")</f>
        <v>R</v>
      </c>
      <c r="AE164" s="3">
        <v>167</v>
      </c>
      <c r="AF164" s="3" t="str">
        <f>IFERROR(MID(VLOOKUP($B164,Seqs!$A:$B,2,0),AG164,1),"")</f>
        <v>C</v>
      </c>
      <c r="AG164" s="3">
        <v>180</v>
      </c>
      <c r="AH164" s="3" t="str">
        <f>IFERROR(MID(VLOOKUP($B164,Seqs!$A:$B,2,0),AI164,1),"")</f>
        <v>F</v>
      </c>
      <c r="AI164" s="3">
        <v>182</v>
      </c>
      <c r="AJ164" s="3" t="str">
        <f>IFERROR(MID(VLOOKUP($B164,Seqs!$A:$B,2,0),AK164,1),"")</f>
        <v>L</v>
      </c>
      <c r="AK164" s="3">
        <v>191</v>
      </c>
      <c r="AL164" s="3" t="str">
        <f>IFERROR(MID(VLOOKUP($B164,Seqs!$A:$B,2,0),AM164,1),"")</f>
        <v>L</v>
      </c>
      <c r="AM164" s="3">
        <v>222</v>
      </c>
      <c r="AN164" s="3" t="str">
        <f>IFERROR(MID(VLOOKUP($B164,Seqs!$A:$B,2,0),AO164,1),"")</f>
        <v>D</v>
      </c>
      <c r="AO164" s="3">
        <v>236</v>
      </c>
      <c r="AP164" s="3" t="str">
        <f>IFERROR(MID(VLOOKUP($B164,Seqs!$A:$B,2,0),AQ164,1),"")</f>
        <v>G</v>
      </c>
      <c r="AQ164" s="3">
        <v>269</v>
      </c>
      <c r="AR164" s="3" t="str">
        <f>IFERROR(MID(VLOOKUP($B164,Seqs!$A:$B,2,0),AS164,1),"")</f>
        <v>D</v>
      </c>
      <c r="AS164" s="3">
        <v>273</v>
      </c>
      <c r="AT164" s="3" t="str">
        <f>IFERROR(MID(VLOOKUP($B164,Seqs!$A:$B,2,0),AU164,1),"")</f>
        <v>F</v>
      </c>
      <c r="AU164" s="3">
        <v>304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Angiotensin</v>
      </c>
      <c r="BB164" s="27" t="b">
        <f t="shared" si="1232"/>
        <v>1</v>
      </c>
      <c r="BC164" s="23">
        <f t="shared" si="981"/>
        <v>237</v>
      </c>
      <c r="BD164" s="2" t="s">
        <v>1372</v>
      </c>
      <c r="BE164" s="3" t="s">
        <v>1370</v>
      </c>
      <c r="BF164" s="118">
        <v>2.8</v>
      </c>
      <c r="BG164" s="49" t="s">
        <v>1373</v>
      </c>
      <c r="BH164" s="49" t="s">
        <v>1373</v>
      </c>
      <c r="BI164" s="1"/>
      <c r="BJ164" s="70" t="s">
        <v>1283</v>
      </c>
      <c r="BK164" s="57" t="s">
        <v>1283</v>
      </c>
      <c r="BL164" s="57" t="s">
        <v>1283</v>
      </c>
      <c r="BM164" s="57" t="s">
        <v>1283</v>
      </c>
      <c r="BN164" s="57" t="s">
        <v>1283</v>
      </c>
      <c r="BO164" s="57" t="s">
        <v>1283</v>
      </c>
      <c r="BP164" s="57" t="s">
        <v>1283</v>
      </c>
      <c r="BQ164" s="57" t="s">
        <v>1283</v>
      </c>
      <c r="BR164" s="57" t="s">
        <v>1283</v>
      </c>
      <c r="BS164" s="57" t="s">
        <v>1283</v>
      </c>
      <c r="BT164" s="57" t="s">
        <v>1283</v>
      </c>
      <c r="BU164" s="57" t="s">
        <v>1283</v>
      </c>
      <c r="BV164" s="70">
        <f t="shared" si="982"/>
        <v>24</v>
      </c>
      <c r="BW164" s="71">
        <f t="shared" si="983"/>
        <v>57</v>
      </c>
      <c r="BX164" s="72">
        <f t="shared" si="984"/>
        <v>61</v>
      </c>
      <c r="BY164" s="71">
        <f t="shared" si="985"/>
        <v>93</v>
      </c>
      <c r="BZ164" s="72">
        <f t="shared" si="986"/>
        <v>97</v>
      </c>
      <c r="CA164" s="71" t="str">
        <f t="shared" si="987"/>
        <v>-</v>
      </c>
      <c r="CB164" s="72">
        <f t="shared" si="988"/>
        <v>142</v>
      </c>
      <c r="CC164" s="71">
        <f t="shared" si="989"/>
        <v>180</v>
      </c>
      <c r="CD164" s="72">
        <f t="shared" si="990"/>
        <v>191</v>
      </c>
      <c r="CE164" s="71">
        <f t="shared" si="991"/>
        <v>236</v>
      </c>
      <c r="CF164" s="72">
        <f t="shared" si="992"/>
        <v>273</v>
      </c>
      <c r="CG164" s="71" t="str">
        <f t="shared" si="993"/>
        <v>-</v>
      </c>
      <c r="CH164" s="70">
        <f t="shared" si="994"/>
        <v>56</v>
      </c>
      <c r="CI164" s="71">
        <f t="shared" si="995"/>
        <v>60</v>
      </c>
      <c r="CJ164" s="72">
        <f t="shared" si="996"/>
        <v>91</v>
      </c>
      <c r="CK164" s="72">
        <f t="shared" si="997"/>
        <v>96</v>
      </c>
      <c r="CL164" s="72">
        <f t="shared" si="998"/>
        <v>132</v>
      </c>
      <c r="CM164" s="72" t="str">
        <f t="shared" si="999"/>
        <v>-</v>
      </c>
      <c r="CN164" s="72">
        <f t="shared" si="1000"/>
        <v>167</v>
      </c>
      <c r="CO164" s="72">
        <f t="shared" si="1001"/>
        <v>182</v>
      </c>
      <c r="CP164" s="72">
        <f t="shared" si="1002"/>
        <v>222</v>
      </c>
      <c r="CQ164" s="72">
        <f t="shared" si="1003"/>
        <v>269</v>
      </c>
      <c r="CR164" s="72">
        <f t="shared" si="1004"/>
        <v>304</v>
      </c>
      <c r="CS164" s="72" t="str">
        <f t="shared" si="1005"/>
        <v>-</v>
      </c>
      <c r="CT164" s="23">
        <f t="shared" si="1006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ref="A165" si="1315">CONCATENATE(B165,"_",C165)</f>
        <v>agtr1_human_6DO1</v>
      </c>
      <c r="B165" s="3" t="s">
        <v>158</v>
      </c>
      <c r="C165" s="3" t="s">
        <v>1551</v>
      </c>
      <c r="D165" s="3" t="str">
        <f>IFERROR(MID(VLOOKUP($B165,Seqs!$A:$B,2,0),E165,1),"")</f>
        <v>H</v>
      </c>
      <c r="E165" s="3">
        <v>24</v>
      </c>
      <c r="F165" s="3" t="str">
        <f>IFERROR(MID(VLOOKUP($B165,Seqs!$A:$B,2,0),G165,1),"")</f>
        <v>Y</v>
      </c>
      <c r="G165" s="3">
        <v>56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61</v>
      </c>
      <c r="N165" s="3" t="str">
        <f>IFERROR(MID(VLOOKUP($B165,Seqs!$A:$B,2,0),O165,1),"")</f>
        <v>E</v>
      </c>
      <c r="O165" s="3">
        <v>91</v>
      </c>
      <c r="P165" s="3" t="str">
        <f>IFERROR(MID(VLOOKUP($B165,Seqs!$A:$B,2,0),Q165,1),"")</f>
        <v>R</v>
      </c>
      <c r="Q165" s="3">
        <v>93</v>
      </c>
      <c r="R165" s="3" t="str">
        <f>IFERROR(MID(VLOOKUP($B165,Seqs!$A:$B,2,0),S165,1),"")</f>
        <v>F</v>
      </c>
      <c r="S165" s="3">
        <v>96</v>
      </c>
      <c r="T165" s="3" t="str">
        <f>IFERROR(MID(VLOOKUP($B165,Seqs!$A:$B,2,0),U165,1),"")</f>
        <v>G</v>
      </c>
      <c r="U165" s="3">
        <v>97</v>
      </c>
      <c r="V165" s="3" t="str">
        <f>IFERROR(MID(VLOOKUP($B165,Seqs!$A:$B,2,0),W165,1),"")</f>
        <v>H</v>
      </c>
      <c r="W165" s="3">
        <v>132</v>
      </c>
      <c r="X165" s="3" t="str">
        <f>IFERROR(MID(VLOOKUP($B165,Seqs!$A:$B,2,0),Y165,1),"")</f>
        <v>P</v>
      </c>
      <c r="Y165" s="3">
        <v>133</v>
      </c>
      <c r="Z165" s="3" t="str">
        <f>IFERROR(MID(VLOOKUP($B165,Seqs!$A:$B,2,0),AA165,1),"")</f>
        <v>R</v>
      </c>
      <c r="AA165" s="3">
        <v>140</v>
      </c>
      <c r="AB165" s="3" t="str">
        <f>IFERROR(MID(VLOOKUP($B165,Seqs!$A:$B,2,0),AC165,1),"")</f>
        <v>T</v>
      </c>
      <c r="AC165" s="3">
        <v>141</v>
      </c>
      <c r="AD165" s="3" t="str">
        <f>IFERROR(MID(VLOOKUP($B165,Seqs!$A:$B,2,0),AE165,1),"")</f>
        <v>R</v>
      </c>
      <c r="AE165" s="3">
        <v>167</v>
      </c>
      <c r="AF165" s="3" t="str">
        <f>IFERROR(MID(VLOOKUP($B165,Seqs!$A:$B,2,0),AG165,1),"")</f>
        <v>C</v>
      </c>
      <c r="AG165" s="3">
        <v>180</v>
      </c>
      <c r="AH165" s="3" t="str">
        <f>IFERROR(MID(VLOOKUP($B165,Seqs!$A:$B,2,0),AI165,1),"")</f>
        <v>F</v>
      </c>
      <c r="AI165" s="3">
        <v>182</v>
      </c>
      <c r="AJ165" s="3" t="str">
        <f>IFERROR(MID(VLOOKUP($B165,Seqs!$A:$B,2,0),AK165,1),"")</f>
        <v>P</v>
      </c>
      <c r="AK165" s="3">
        <v>192</v>
      </c>
      <c r="AL165" s="3" t="str">
        <f>IFERROR(MID(VLOOKUP($B165,Seqs!$A:$B,2,0),AM165,1),"")</f>
        <v>N</v>
      </c>
      <c r="AM165" s="3">
        <v>231</v>
      </c>
      <c r="AN165" s="3" t="str">
        <f>IFERROR(MID(VLOOKUP($B165,Seqs!$A:$B,2,0),AO165,1),"")</f>
        <v>T</v>
      </c>
      <c r="AO165" s="3">
        <v>336</v>
      </c>
      <c r="AP165" s="3" t="str">
        <f>IFERROR(MID(VLOOKUP($B165,Seqs!$A:$B,2,0),AQ165,1),"")</f>
        <v/>
      </c>
      <c r="AQ165" s="3">
        <v>368</v>
      </c>
      <c r="AR165" s="3" t="str">
        <f>IFERROR(MID(VLOOKUP($B165,Seqs!$A:$B,2,0),AS165,1),"")</f>
        <v/>
      </c>
      <c r="AS165" s="3">
        <v>372</v>
      </c>
      <c r="AT165" s="3" t="str">
        <f>IFERROR(MID(VLOOKUP($B165,Seqs!$A:$B,2,0),AU165,1),"")</f>
        <v/>
      </c>
      <c r="AU165" s="3">
        <v>404</v>
      </c>
      <c r="AV165" s="3" t="str">
        <f>IFERROR(MID(VLOOKUP($B165,Seqs!$A:$B,2,0),AW165,1),"")</f>
        <v/>
      </c>
      <c r="AW165" s="3">
        <v>405</v>
      </c>
      <c r="AX165" s="3" t="str">
        <f>IFERROR(MID(VLOOKUP($B165,Seqs!$A:$B,2,0),AY165,1),"")</f>
        <v/>
      </c>
      <c r="AY165" s="3">
        <v>416</v>
      </c>
      <c r="AZ165" s="77" t="str">
        <f>VLOOKUP(B165,Classification!A:D,2,0)</f>
        <v>A</v>
      </c>
      <c r="BA165" s="94" t="str">
        <f>VLOOKUP(B165,Classification!A:D,4,0)</f>
        <v>Angiotensin</v>
      </c>
      <c r="BB165" s="27" t="b">
        <f t="shared" ref="BB165" si="1316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317">_xlfn.AGGREGATE(9,6,CH165:CS165)-_xlfn.AGGREGATE(9,6,BV165:CG165)+12</f>
        <v>261</v>
      </c>
      <c r="BD165" s="2" t="s">
        <v>1371</v>
      </c>
      <c r="BE165" s="3" t="s">
        <v>1287</v>
      </c>
      <c r="BF165" s="118">
        <v>2.9</v>
      </c>
      <c r="BG165" s="49" t="s">
        <v>1</v>
      </c>
      <c r="BH165" s="49" t="s">
        <v>1</v>
      </c>
      <c r="BI165" s="1"/>
      <c r="BJ165" s="70" t="s">
        <v>1283</v>
      </c>
      <c r="BK165" s="57" t="s">
        <v>1283</v>
      </c>
      <c r="BL165" s="57" t="s">
        <v>1283</v>
      </c>
      <c r="BM165" s="57" t="s">
        <v>1283</v>
      </c>
      <c r="BN165" s="57" t="s">
        <v>1283</v>
      </c>
      <c r="BO165" s="57" t="s">
        <v>1283</v>
      </c>
      <c r="BP165" s="57" t="s">
        <v>1283</v>
      </c>
      <c r="BQ165" s="57" t="s">
        <v>1283</v>
      </c>
      <c r="BR165" s="57" t="s">
        <v>1283</v>
      </c>
      <c r="BS165" s="57" t="s">
        <v>1283</v>
      </c>
      <c r="BT165" s="57" t="s">
        <v>1283</v>
      </c>
      <c r="BU165" s="57" t="s">
        <v>1283</v>
      </c>
      <c r="BV165" s="70">
        <f t="shared" ref="BV165" si="1318">E165</f>
        <v>24</v>
      </c>
      <c r="BW165" s="71" t="str">
        <f t="shared" ref="BW165" si="1319">I165</f>
        <v>-</v>
      </c>
      <c r="BX165" s="72">
        <f t="shared" ref="BX165" si="1320">M165</f>
        <v>61</v>
      </c>
      <c r="BY165" s="71">
        <f t="shared" ref="BY165" si="1321">Q165</f>
        <v>93</v>
      </c>
      <c r="BZ165" s="72">
        <f t="shared" ref="BZ165" si="1322">U165</f>
        <v>97</v>
      </c>
      <c r="CA165" s="71">
        <f t="shared" ref="CA165" si="1323">Y165</f>
        <v>133</v>
      </c>
      <c r="CB165" s="72">
        <f t="shared" ref="CB165" si="1324">AC165</f>
        <v>141</v>
      </c>
      <c r="CC165" s="71">
        <f t="shared" ref="CC165" si="1325">AG165</f>
        <v>180</v>
      </c>
      <c r="CD165" s="72">
        <f t="shared" ref="CD165" si="1326">AK165</f>
        <v>192</v>
      </c>
      <c r="CE165" s="71">
        <f t="shared" ref="CE165" si="1327">AO165</f>
        <v>336</v>
      </c>
      <c r="CF165" s="72">
        <f t="shared" ref="CF165" si="1328">AS165</f>
        <v>372</v>
      </c>
      <c r="CG165" s="71">
        <f t="shared" ref="CG165" si="1329">AW165</f>
        <v>405</v>
      </c>
      <c r="CH165" s="70">
        <f t="shared" ref="CH165" si="1330">G165</f>
        <v>56</v>
      </c>
      <c r="CI165" s="71" t="str">
        <f t="shared" ref="CI165" si="1331">K165</f>
        <v>-</v>
      </c>
      <c r="CJ165" s="72">
        <f t="shared" ref="CJ165" si="1332">O165</f>
        <v>91</v>
      </c>
      <c r="CK165" s="72">
        <f t="shared" ref="CK165" si="1333">S165</f>
        <v>96</v>
      </c>
      <c r="CL165" s="72">
        <f t="shared" ref="CL165" si="1334">W165</f>
        <v>132</v>
      </c>
      <c r="CM165" s="72">
        <f t="shared" ref="CM165" si="1335">AA165</f>
        <v>140</v>
      </c>
      <c r="CN165" s="72">
        <f t="shared" ref="CN165" si="1336">AE165</f>
        <v>167</v>
      </c>
      <c r="CO165" s="72">
        <f t="shared" ref="CO165" si="1337">AI165</f>
        <v>182</v>
      </c>
      <c r="CP165" s="72">
        <f t="shared" ref="CP165" si="1338">AM165</f>
        <v>231</v>
      </c>
      <c r="CQ165" s="72">
        <f t="shared" ref="CQ165" si="1339">AQ165</f>
        <v>368</v>
      </c>
      <c r="CR165" s="72">
        <f t="shared" ref="CR165" si="1340">AU165</f>
        <v>404</v>
      </c>
      <c r="CS165" s="72">
        <f t="shared" ref="CS165" si="1341">AY165</f>
        <v>416</v>
      </c>
      <c r="CT165" s="23" t="e">
        <f t="shared" ref="CT165" si="1342"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 t="shared" ref="A166" si="1343">CONCATENATE(B166,"_",C166)</f>
        <v>agtr1_human_6OS0</v>
      </c>
      <c r="B166" s="3" t="s">
        <v>158</v>
      </c>
      <c r="C166" s="3" t="s">
        <v>1655</v>
      </c>
      <c r="D166" s="3" t="str">
        <f>IFERROR(MID(VLOOKUP($B166,Seqs!$A:$B,2,0),E166,1),"")</f>
        <v>H</v>
      </c>
      <c r="E166" s="3">
        <v>24</v>
      </c>
      <c r="F166" s="3" t="str">
        <f>IFERROR(MID(VLOOKUP($B166,Seqs!$A:$B,2,0),G166,1),"")</f>
        <v>Y</v>
      </c>
      <c r="G166" s="3">
        <v>56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61</v>
      </c>
      <c r="N166" s="3" t="str">
        <f>IFERROR(MID(VLOOKUP($B166,Seqs!$A:$B,2,0),O166,1),"")</f>
        <v>E</v>
      </c>
      <c r="O166" s="3">
        <v>91</v>
      </c>
      <c r="P166" s="3" t="str">
        <f>IFERROR(MID(VLOOKUP($B166,Seqs!$A:$B,2,0),Q166,1),"")</f>
        <v>R</v>
      </c>
      <c r="Q166" s="3">
        <v>93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P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3">
        <v>141</v>
      </c>
      <c r="AD166" s="3" t="str">
        <f>IFERROR(MID(VLOOKUP($B166,Seqs!$A:$B,2,0),AE166,1),"")</f>
        <v>H</v>
      </c>
      <c r="AE166" s="3">
        <v>166</v>
      </c>
      <c r="AF166" s="3" t="str">
        <f>IFERROR(MID(VLOOKUP($B166,Seqs!$A:$B,2,0),AG166,1),"")</f>
        <v>C</v>
      </c>
      <c r="AG166" s="3">
        <v>180</v>
      </c>
      <c r="AH166" s="3" t="str">
        <f>IFERROR(MID(VLOOKUP($B166,Seqs!$A:$B,2,0),AI166,1),"")</f>
        <v>F</v>
      </c>
      <c r="AI166" s="3">
        <v>182</v>
      </c>
      <c r="AJ166" s="3" t="str">
        <f>IFERROR(MID(VLOOKUP($B166,Seqs!$A:$B,2,0),AK166,1),"")</f>
        <v>I</v>
      </c>
      <c r="AK166" s="3">
        <v>193</v>
      </c>
      <c r="AL166" s="3" t="str">
        <f>IFERROR(MID(VLOOKUP($B166,Seqs!$A:$B,2,0),AM166,1),"")</f>
        <v>Y</v>
      </c>
      <c r="AM166" s="3">
        <v>226</v>
      </c>
      <c r="AN166" s="3" t="str">
        <f>IFERROR(MID(VLOOKUP($B166,Seqs!$A:$B,2,0),AO166,1),"")</f>
        <v/>
      </c>
      <c r="AO166" s="3">
        <v>1237</v>
      </c>
      <c r="AP166" s="3" t="str">
        <f>IFERROR(MID(VLOOKUP($B166,Seqs!$A:$B,2,0),AQ166,1),"")</f>
        <v/>
      </c>
      <c r="AQ166" s="3">
        <v>1268</v>
      </c>
      <c r="AR166" s="3" t="str">
        <f>IFERROR(MID(VLOOKUP($B166,Seqs!$A:$B,2,0),AS166,1),"")</f>
        <v/>
      </c>
      <c r="AS166" s="3">
        <v>1273</v>
      </c>
      <c r="AT166" s="3" t="str">
        <f>IFERROR(MID(VLOOKUP($B166,Seqs!$A:$B,2,0),AU166,1),"")</f>
        <v/>
      </c>
      <c r="AU166" s="3">
        <v>1305</v>
      </c>
      <c r="AV166" s="3" t="str">
        <f>IFERROR(MID(VLOOKUP($B166,Seqs!$A:$B,2,0),AW166,1),"")</f>
        <v/>
      </c>
      <c r="AW166" s="3">
        <v>1306</v>
      </c>
      <c r="AX166" s="3" t="str">
        <f>IFERROR(MID(VLOOKUP($B166,Seqs!$A:$B,2,0),AY166,1),"")</f>
        <v/>
      </c>
      <c r="AY166" s="3">
        <v>1316</v>
      </c>
      <c r="AZ166" s="77" t="str">
        <f>VLOOKUP(B166,Classification!A:D,2,0)</f>
        <v>A</v>
      </c>
      <c r="BA166" s="94" t="str">
        <f>VLOOKUP(B166,Classification!A:D,4,0)</f>
        <v>Angiotensin</v>
      </c>
      <c r="BB166" s="27" t="b">
        <f t="shared" ref="BB166" si="1344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345">_xlfn.AGGREGATE(9,6,CH166:CS166)-_xlfn.AGGREGATE(9,6,BV166:CG166)+12</f>
        <v>252</v>
      </c>
      <c r="BD166" s="2" t="s">
        <v>23</v>
      </c>
      <c r="BE166" s="3" t="s">
        <v>1287</v>
      </c>
      <c r="BF166" s="118">
        <v>2.9</v>
      </c>
      <c r="BG166" s="49" t="s">
        <v>1</v>
      </c>
      <c r="BH166" s="49" t="s">
        <v>1</v>
      </c>
      <c r="BI166" s="1"/>
      <c r="BJ166" s="70" t="s">
        <v>1283</v>
      </c>
      <c r="BK166" s="57" t="s">
        <v>1283</v>
      </c>
      <c r="BL166" s="57" t="s">
        <v>1283</v>
      </c>
      <c r="BM166" s="57" t="s">
        <v>1283</v>
      </c>
      <c r="BN166" s="57" t="s">
        <v>1283</v>
      </c>
      <c r="BO166" s="57" t="s">
        <v>1283</v>
      </c>
      <c r="BP166" s="57" t="s">
        <v>1283</v>
      </c>
      <c r="BQ166" s="57" t="s">
        <v>1283</v>
      </c>
      <c r="BR166" s="57" t="s">
        <v>1283</v>
      </c>
      <c r="BS166" s="57" t="s">
        <v>1283</v>
      </c>
      <c r="BT166" s="57" t="s">
        <v>1283</v>
      </c>
      <c r="BU166" s="57" t="s">
        <v>1283</v>
      </c>
      <c r="BV166" s="70">
        <f t="shared" ref="BV166" si="1346">E166</f>
        <v>24</v>
      </c>
      <c r="BW166" s="71" t="str">
        <f t="shared" ref="BW166" si="1347">I166</f>
        <v>-</v>
      </c>
      <c r="BX166" s="72">
        <f t="shared" ref="BX166" si="1348">M166</f>
        <v>61</v>
      </c>
      <c r="BY166" s="71">
        <f t="shared" ref="BY166" si="1349">Q166</f>
        <v>93</v>
      </c>
      <c r="BZ166" s="72">
        <f t="shared" ref="BZ166" si="1350">U166</f>
        <v>97</v>
      </c>
      <c r="CA166" s="71">
        <f t="shared" ref="CA166" si="1351">Y166</f>
        <v>133</v>
      </c>
      <c r="CB166" s="72">
        <f t="shared" ref="CB166" si="1352">AC166</f>
        <v>141</v>
      </c>
      <c r="CC166" s="71">
        <f t="shared" ref="CC166" si="1353">AG166</f>
        <v>180</v>
      </c>
      <c r="CD166" s="72">
        <f t="shared" ref="CD166" si="1354">AK166</f>
        <v>193</v>
      </c>
      <c r="CE166" s="71">
        <f t="shared" ref="CE166" si="1355">AO166</f>
        <v>1237</v>
      </c>
      <c r="CF166" s="72">
        <f t="shared" ref="CF166" si="1356">AS166</f>
        <v>1273</v>
      </c>
      <c r="CG166" s="71">
        <f t="shared" ref="CG166" si="1357">AW166</f>
        <v>1306</v>
      </c>
      <c r="CH166" s="70">
        <f t="shared" ref="CH166" si="1358">G166</f>
        <v>56</v>
      </c>
      <c r="CI166" s="71" t="str">
        <f t="shared" ref="CI166" si="1359">K166</f>
        <v>-</v>
      </c>
      <c r="CJ166" s="72">
        <f t="shared" ref="CJ166" si="1360">O166</f>
        <v>91</v>
      </c>
      <c r="CK166" s="72">
        <f t="shared" ref="CK166" si="1361">S166</f>
        <v>96</v>
      </c>
      <c r="CL166" s="72">
        <f t="shared" ref="CL166" si="1362">W166</f>
        <v>132</v>
      </c>
      <c r="CM166" s="72">
        <f t="shared" ref="CM166" si="1363">AA166</f>
        <v>140</v>
      </c>
      <c r="CN166" s="72">
        <f t="shared" ref="CN166" si="1364">AE166</f>
        <v>166</v>
      </c>
      <c r="CO166" s="72">
        <f t="shared" ref="CO166" si="1365">AI166</f>
        <v>182</v>
      </c>
      <c r="CP166" s="72">
        <f t="shared" ref="CP166" si="1366">AM166</f>
        <v>226</v>
      </c>
      <c r="CQ166" s="72">
        <f t="shared" ref="CQ166" si="1367">AQ166</f>
        <v>1268</v>
      </c>
      <c r="CR166" s="72">
        <f t="shared" ref="CR166" si="1368">AU166</f>
        <v>1305</v>
      </c>
      <c r="CS166" s="72">
        <f t="shared" ref="CS166" si="1369">AY166</f>
        <v>1316</v>
      </c>
      <c r="CT166" s="23" t="e">
        <f t="shared" ref="CT166" si="1370">M166-K166</f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ht="18" x14ac:dyDescent="0.2">
      <c r="A167" s="3" t="str">
        <f t="shared" ref="A167" si="1371">CONCATENATE(B167,"_",C167)</f>
        <v>agtr1_human_6OS1</v>
      </c>
      <c r="B167" s="3" t="s">
        <v>158</v>
      </c>
      <c r="C167" s="3" t="s">
        <v>1656</v>
      </c>
      <c r="D167" s="3" t="str">
        <f>IFERROR(MID(VLOOKUP($B167,Seqs!$A:$B,2,0),E167,1),"")</f>
        <v>H</v>
      </c>
      <c r="E167" s="3">
        <v>24</v>
      </c>
      <c r="F167" s="3" t="str">
        <f>IFERROR(MID(VLOOKUP($B167,Seqs!$A:$B,2,0),G167,1),"")</f>
        <v>Y</v>
      </c>
      <c r="G167" s="3">
        <v>56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T</v>
      </c>
      <c r="M167" s="3">
        <v>61</v>
      </c>
      <c r="N167" s="3" t="str">
        <f>IFERROR(MID(VLOOKUP($B167,Seqs!$A:$B,2,0),O167,1),"")</f>
        <v>E</v>
      </c>
      <c r="O167" s="3">
        <v>91</v>
      </c>
      <c r="P167" s="3" t="str">
        <f>IFERROR(MID(VLOOKUP($B167,Seqs!$A:$B,2,0),Q167,1),"")</f>
        <v>R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P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3">
        <v>141</v>
      </c>
      <c r="AD167" s="3" t="str">
        <f>IFERROR(MID(VLOOKUP($B167,Seqs!$A:$B,2,0),AE167,1),"")</f>
        <v>H</v>
      </c>
      <c r="AE167" s="3">
        <v>166</v>
      </c>
      <c r="AF167" s="3" t="str">
        <f>IFERROR(MID(VLOOKUP($B167,Seqs!$A:$B,2,0),AG167,1),"")</f>
        <v>C</v>
      </c>
      <c r="AG167" s="3">
        <v>180</v>
      </c>
      <c r="AH167" s="3" t="str">
        <f>IFERROR(MID(VLOOKUP($B167,Seqs!$A:$B,2,0),AI167,1),"")</f>
        <v>F</v>
      </c>
      <c r="AI167" s="3">
        <v>182</v>
      </c>
      <c r="AJ167" s="3" t="str">
        <f>IFERROR(MID(VLOOKUP($B167,Seqs!$A:$B,2,0),AK167,1),"")</f>
        <v>L</v>
      </c>
      <c r="AK167" s="3">
        <v>195</v>
      </c>
      <c r="AL167" s="3" t="str">
        <f>IFERROR(MID(VLOOKUP($B167,Seqs!$A:$B,2,0),AM167,1),"")</f>
        <v>Y</v>
      </c>
      <c r="AM167" s="3">
        <v>226</v>
      </c>
      <c r="AN167" s="3" t="str">
        <f>IFERROR(MID(VLOOKUP($B167,Seqs!$A:$B,2,0),AO167,1),"")</f>
        <v/>
      </c>
      <c r="AO167" s="3">
        <v>1237</v>
      </c>
      <c r="AP167" s="3" t="str">
        <f>IFERROR(MID(VLOOKUP($B167,Seqs!$A:$B,2,0),AQ167,1),"")</f>
        <v/>
      </c>
      <c r="AQ167" s="3">
        <v>1269</v>
      </c>
      <c r="AR167" s="3" t="str">
        <f>IFERROR(MID(VLOOKUP($B167,Seqs!$A:$B,2,0),AS167,1),"")</f>
        <v/>
      </c>
      <c r="AS167" s="3">
        <v>1273</v>
      </c>
      <c r="AT167" s="3" t="str">
        <f>IFERROR(MID(VLOOKUP($B167,Seqs!$A:$B,2,0),AU167,1),"")</f>
        <v/>
      </c>
      <c r="AU167" s="3">
        <v>1305</v>
      </c>
      <c r="AV167" s="3" t="str">
        <f>IFERROR(MID(VLOOKUP($B167,Seqs!$A:$B,2,0),AW167,1),"")</f>
        <v/>
      </c>
      <c r="AW167" s="3">
        <v>1306</v>
      </c>
      <c r="AX167" s="3" t="str">
        <f>IFERROR(MID(VLOOKUP($B167,Seqs!$A:$B,2,0),AY167,1),"")</f>
        <v/>
      </c>
      <c r="AY167" s="3">
        <v>1318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ref="BB167" si="1372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 t="shared" ref="BC167" si="1373">_xlfn.AGGREGATE(9,6,CH167:CS167)-_xlfn.AGGREGATE(9,6,BV167:CG167)+12</f>
        <v>253</v>
      </c>
      <c r="BD167" s="2" t="s">
        <v>23</v>
      </c>
      <c r="BE167" s="3" t="s">
        <v>1287</v>
      </c>
      <c r="BF167" s="118">
        <v>2.79</v>
      </c>
      <c r="BG167" s="49" t="s">
        <v>1</v>
      </c>
      <c r="BH167" s="49" t="s">
        <v>1</v>
      </c>
      <c r="BI167" s="135"/>
      <c r="BJ167" s="70" t="s">
        <v>1283</v>
      </c>
      <c r="BK167" s="57" t="s">
        <v>1283</v>
      </c>
      <c r="BL167" s="57" t="s">
        <v>1283</v>
      </c>
      <c r="BM167" s="57" t="s">
        <v>1283</v>
      </c>
      <c r="BN167" s="57" t="s">
        <v>1283</v>
      </c>
      <c r="BO167" s="57" t="s">
        <v>1283</v>
      </c>
      <c r="BP167" s="57" t="s">
        <v>1283</v>
      </c>
      <c r="BQ167" s="57" t="s">
        <v>1283</v>
      </c>
      <c r="BR167" s="57" t="s">
        <v>1283</v>
      </c>
      <c r="BS167" s="57" t="s">
        <v>1283</v>
      </c>
      <c r="BT167" s="57" t="s">
        <v>1283</v>
      </c>
      <c r="BU167" s="57" t="s">
        <v>1283</v>
      </c>
      <c r="BV167" s="70">
        <f t="shared" ref="BV167" si="1374">E167</f>
        <v>24</v>
      </c>
      <c r="BW167" s="71" t="str">
        <f t="shared" ref="BW167" si="1375">I167</f>
        <v>-</v>
      </c>
      <c r="BX167" s="72">
        <f t="shared" ref="BX167" si="1376">M167</f>
        <v>61</v>
      </c>
      <c r="BY167" s="71">
        <f t="shared" ref="BY167" si="1377">Q167</f>
        <v>93</v>
      </c>
      <c r="BZ167" s="72">
        <f t="shared" ref="BZ167" si="1378">U167</f>
        <v>97</v>
      </c>
      <c r="CA167" s="71">
        <f t="shared" ref="CA167" si="1379">Y167</f>
        <v>133</v>
      </c>
      <c r="CB167" s="72">
        <f t="shared" ref="CB167" si="1380">AC167</f>
        <v>141</v>
      </c>
      <c r="CC167" s="71">
        <f t="shared" ref="CC167" si="1381">AG167</f>
        <v>180</v>
      </c>
      <c r="CD167" s="72">
        <f t="shared" ref="CD167" si="1382">AK167</f>
        <v>195</v>
      </c>
      <c r="CE167" s="71">
        <f t="shared" ref="CE167" si="1383">AO167</f>
        <v>1237</v>
      </c>
      <c r="CF167" s="72">
        <f t="shared" ref="CF167" si="1384">AS167</f>
        <v>1273</v>
      </c>
      <c r="CG167" s="71">
        <f t="shared" ref="CG167" si="1385">AW167</f>
        <v>1306</v>
      </c>
      <c r="CH167" s="70">
        <f t="shared" ref="CH167" si="1386">G167</f>
        <v>56</v>
      </c>
      <c r="CI167" s="71" t="str">
        <f t="shared" ref="CI167" si="1387">K167</f>
        <v>-</v>
      </c>
      <c r="CJ167" s="72">
        <f t="shared" ref="CJ167" si="1388">O167</f>
        <v>91</v>
      </c>
      <c r="CK167" s="72">
        <f t="shared" ref="CK167" si="1389">S167</f>
        <v>96</v>
      </c>
      <c r="CL167" s="72">
        <f t="shared" ref="CL167" si="1390">W167</f>
        <v>132</v>
      </c>
      <c r="CM167" s="72">
        <f t="shared" ref="CM167" si="1391">AA167</f>
        <v>140</v>
      </c>
      <c r="CN167" s="72">
        <f t="shared" ref="CN167" si="1392">AE167</f>
        <v>166</v>
      </c>
      <c r="CO167" s="72">
        <f t="shared" ref="CO167" si="1393">AI167</f>
        <v>182</v>
      </c>
      <c r="CP167" s="72">
        <f t="shared" ref="CP167" si="1394">AM167</f>
        <v>226</v>
      </c>
      <c r="CQ167" s="72">
        <f t="shared" ref="CQ167" si="1395">AQ167</f>
        <v>1269</v>
      </c>
      <c r="CR167" s="72">
        <f t="shared" ref="CR167" si="1396">AU167</f>
        <v>1305</v>
      </c>
      <c r="CS167" s="72">
        <f t="shared" ref="CS167" si="1397">AY167</f>
        <v>1318</v>
      </c>
      <c r="CT167" s="23" t="e">
        <f t="shared" ref="CT167" si="1398">M167-K167</f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ht="18" x14ac:dyDescent="0.2">
      <c r="A168" s="3" t="str">
        <f t="shared" ref="A168" si="1399">CONCATENATE(B168,"_",C168)</f>
        <v>agtr1_human_6OS2</v>
      </c>
      <c r="B168" s="3" t="s">
        <v>158</v>
      </c>
      <c r="C168" s="3" t="s">
        <v>1657</v>
      </c>
      <c r="D168" s="3" t="str">
        <f>IFERROR(MID(VLOOKUP($B168,Seqs!$A:$B,2,0),E168,1),"")</f>
        <v>N</v>
      </c>
      <c r="E168" s="3">
        <v>25</v>
      </c>
      <c r="F168" s="3" t="str">
        <f>IFERROR(MID(VLOOKUP($B168,Seqs!$A:$B,2,0),G168,1),"")</f>
        <v>M</v>
      </c>
      <c r="G168" s="3">
        <v>57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V</v>
      </c>
      <c r="M168" s="3">
        <v>62</v>
      </c>
      <c r="N168" s="3" t="str">
        <f>IFERROR(MID(VLOOKUP($B168,Seqs!$A:$B,2,0),O168,1),"")</f>
        <v>Y</v>
      </c>
      <c r="O168" s="3">
        <v>92</v>
      </c>
      <c r="P168" s="3" t="str">
        <f>IFERROR(MID(VLOOKUP($B168,Seqs!$A:$B,2,0),Q168,1),"")</f>
        <v>W</v>
      </c>
      <c r="Q168" s="3">
        <v>94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>P</v>
      </c>
      <c r="Y168" s="3">
        <v>133</v>
      </c>
      <c r="Z168" s="3" t="str">
        <f>IFERROR(MID(VLOOKUP($B168,Seqs!$A:$B,2,0),AA168,1),"")</f>
        <v>R</v>
      </c>
      <c r="AA168" s="3">
        <v>140</v>
      </c>
      <c r="AB168" s="3" t="str">
        <f>IFERROR(MID(VLOOKUP($B168,Seqs!$A:$B,2,0),AC168,1),"")</f>
        <v>T</v>
      </c>
      <c r="AC168" s="3">
        <v>141</v>
      </c>
      <c r="AD168" s="3" t="str">
        <f>IFERROR(MID(VLOOKUP($B168,Seqs!$A:$B,2,0),AE168,1),"")</f>
        <v>H</v>
      </c>
      <c r="AE168" s="3">
        <v>166</v>
      </c>
      <c r="AF168" s="3" t="str">
        <f>IFERROR(MID(VLOOKUP($B168,Seqs!$A:$B,2,0),AG168,1),"")</f>
        <v>C</v>
      </c>
      <c r="AG168" s="3">
        <v>180</v>
      </c>
      <c r="AH168" s="3" t="str">
        <f>IFERROR(MID(VLOOKUP($B168,Seqs!$A:$B,2,0),AI168,1),"")</f>
        <v>F</v>
      </c>
      <c r="AI168" s="3">
        <v>182</v>
      </c>
      <c r="AJ168" s="3" t="str">
        <f>IFERROR(MID(VLOOKUP($B168,Seqs!$A:$B,2,0),AK168,1),"")</f>
        <v>L</v>
      </c>
      <c r="AK168" s="3">
        <v>195</v>
      </c>
      <c r="AL168" s="3" t="str">
        <f>IFERROR(MID(VLOOKUP($B168,Seqs!$A:$B,2,0),AM168,1),"")</f>
        <v>Y</v>
      </c>
      <c r="AM168" s="3">
        <v>226</v>
      </c>
      <c r="AN168" s="3" t="str">
        <f>IFERROR(MID(VLOOKUP($B168,Seqs!$A:$B,2,0),AO168,1),"")</f>
        <v/>
      </c>
      <c r="AO168" s="3">
        <v>1237</v>
      </c>
      <c r="AP168" s="3" t="str">
        <f>IFERROR(MID(VLOOKUP($B168,Seqs!$A:$B,2,0),AQ168,1),"")</f>
        <v/>
      </c>
      <c r="AQ168" s="3">
        <v>1269</v>
      </c>
      <c r="AR168" s="3" t="str">
        <f>IFERROR(MID(VLOOKUP($B168,Seqs!$A:$B,2,0),AS168,1),"")</f>
        <v/>
      </c>
      <c r="AS168" s="3">
        <v>1273</v>
      </c>
      <c r="AT168" s="3" t="str">
        <f>IFERROR(MID(VLOOKUP($B168,Seqs!$A:$B,2,0),AU168,1),"")</f>
        <v/>
      </c>
      <c r="AU168" s="3">
        <v>1305</v>
      </c>
      <c r="AV168" s="3" t="str">
        <f>IFERROR(MID(VLOOKUP($B168,Seqs!$A:$B,2,0),AW168,1),"")</f>
        <v/>
      </c>
      <c r="AW168" s="3">
        <v>1306</v>
      </c>
      <c r="AX168" s="3" t="str">
        <f>IFERROR(MID(VLOOKUP($B168,Seqs!$A:$B,2,0),AY168,1),"")</f>
        <v/>
      </c>
      <c r="AY168" s="3">
        <v>1318</v>
      </c>
      <c r="AZ168" s="77" t="str">
        <f>VLOOKUP(B168,Classification!A:D,2,0)</f>
        <v>A</v>
      </c>
      <c r="BA168" s="94" t="str">
        <f>VLOOKUP(B168,Classification!A:D,4,0)</f>
        <v>Angiotensin</v>
      </c>
      <c r="BB168" s="27" t="b">
        <f t="shared" ref="BB168" si="1400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" si="1401">_xlfn.AGGREGATE(9,6,CH168:CS168)-_xlfn.AGGREGATE(9,6,BV168:CG168)+12</f>
        <v>252</v>
      </c>
      <c r="BD168" s="2" t="s">
        <v>23</v>
      </c>
      <c r="BE168" s="3" t="s">
        <v>1287</v>
      </c>
      <c r="BF168" s="118">
        <v>2.7</v>
      </c>
      <c r="BG168" s="49" t="s">
        <v>1</v>
      </c>
      <c r="BH168" s="49" t="s">
        <v>1</v>
      </c>
      <c r="BI168" s="135"/>
      <c r="BJ168" s="70" t="s">
        <v>1283</v>
      </c>
      <c r="BK168" s="57" t="s">
        <v>1283</v>
      </c>
      <c r="BL168" s="57" t="s">
        <v>1283</v>
      </c>
      <c r="BM168" s="57" t="s">
        <v>1283</v>
      </c>
      <c r="BN168" s="57" t="s">
        <v>1283</v>
      </c>
      <c r="BO168" s="57" t="s">
        <v>1283</v>
      </c>
      <c r="BP168" s="57" t="s">
        <v>1283</v>
      </c>
      <c r="BQ168" s="57" t="s">
        <v>1283</v>
      </c>
      <c r="BR168" s="57" t="s">
        <v>1283</v>
      </c>
      <c r="BS168" s="57" t="s">
        <v>1283</v>
      </c>
      <c r="BT168" s="57" t="s">
        <v>1283</v>
      </c>
      <c r="BU168" s="57" t="s">
        <v>1283</v>
      </c>
      <c r="BV168" s="70">
        <f t="shared" ref="BV168" si="1402">E168</f>
        <v>25</v>
      </c>
      <c r="BW168" s="71" t="str">
        <f t="shared" ref="BW168" si="1403">I168</f>
        <v>-</v>
      </c>
      <c r="BX168" s="72">
        <f t="shared" ref="BX168" si="1404">M168</f>
        <v>62</v>
      </c>
      <c r="BY168" s="71">
        <f t="shared" ref="BY168" si="1405">Q168</f>
        <v>94</v>
      </c>
      <c r="BZ168" s="72">
        <f t="shared" ref="BZ168" si="1406">U168</f>
        <v>97</v>
      </c>
      <c r="CA168" s="71">
        <f t="shared" ref="CA168" si="1407">Y168</f>
        <v>133</v>
      </c>
      <c r="CB168" s="72">
        <f t="shared" ref="CB168" si="1408">AC168</f>
        <v>141</v>
      </c>
      <c r="CC168" s="71">
        <f t="shared" ref="CC168" si="1409">AG168</f>
        <v>180</v>
      </c>
      <c r="CD168" s="72">
        <f t="shared" ref="CD168" si="1410">AK168</f>
        <v>195</v>
      </c>
      <c r="CE168" s="71">
        <f t="shared" ref="CE168" si="1411">AO168</f>
        <v>1237</v>
      </c>
      <c r="CF168" s="72">
        <f t="shared" ref="CF168" si="1412">AS168</f>
        <v>1273</v>
      </c>
      <c r="CG168" s="71">
        <f t="shared" ref="CG168" si="1413">AW168</f>
        <v>1306</v>
      </c>
      <c r="CH168" s="70">
        <f t="shared" ref="CH168" si="1414">G168</f>
        <v>57</v>
      </c>
      <c r="CI168" s="71" t="str">
        <f t="shared" ref="CI168" si="1415">K168</f>
        <v>-</v>
      </c>
      <c r="CJ168" s="72">
        <f t="shared" ref="CJ168" si="1416">O168</f>
        <v>92</v>
      </c>
      <c r="CK168" s="72">
        <f t="shared" ref="CK168" si="1417">S168</f>
        <v>96</v>
      </c>
      <c r="CL168" s="72">
        <f t="shared" ref="CL168" si="1418">W168</f>
        <v>132</v>
      </c>
      <c r="CM168" s="72">
        <f t="shared" ref="CM168" si="1419">AA168</f>
        <v>140</v>
      </c>
      <c r="CN168" s="72">
        <f t="shared" ref="CN168" si="1420">AE168</f>
        <v>166</v>
      </c>
      <c r="CO168" s="72">
        <f t="shared" ref="CO168" si="1421">AI168</f>
        <v>182</v>
      </c>
      <c r="CP168" s="72">
        <f t="shared" ref="CP168" si="1422">AM168</f>
        <v>226</v>
      </c>
      <c r="CQ168" s="72">
        <f t="shared" ref="CQ168" si="1423">AQ168</f>
        <v>1269</v>
      </c>
      <c r="CR168" s="72">
        <f t="shared" ref="CR168" si="1424">AU168</f>
        <v>1305</v>
      </c>
      <c r="CS168" s="72">
        <f t="shared" ref="CS168" si="1425">AY168</f>
        <v>1318</v>
      </c>
      <c r="CT168" s="23" t="e">
        <f t="shared" ref="CT168" si="1426">M168-K168</f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ref="A169:A182" si="1427">CONCATENATE(B169,"_",C169)</f>
        <v>agtr2_human__wt</v>
      </c>
      <c r="B169" s="3" t="s">
        <v>159</v>
      </c>
      <c r="C169" s="3" t="s">
        <v>100</v>
      </c>
      <c r="D169" s="3" t="str">
        <f>IFERROR(MID(VLOOKUP($B169,Seqs!$A:$B,2,0),E169,1),"")</f>
        <v>D</v>
      </c>
      <c r="E169" s="3">
        <v>45</v>
      </c>
      <c r="F169" s="3" t="str">
        <f>IFERROR(MID(VLOOKUP($B169,Seqs!$A:$B,2,0),G169,1),"")</f>
        <v>Q</v>
      </c>
      <c r="G169" s="3">
        <v>72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V</v>
      </c>
      <c r="M169" s="3">
        <v>78</v>
      </c>
      <c r="N169" s="3" t="str">
        <f>IFERROR(MID(VLOOKUP($B169,Seqs!$A:$B,2,0),O169,1),"")</f>
        <v>Y</v>
      </c>
      <c r="O169" s="3">
        <v>106</v>
      </c>
      <c r="P169" s="3" t="str">
        <f>IFERROR(MID(VLOOKUP($B169,Seqs!$A:$B,2,0),Q169,1),"")</f>
        <v>R</v>
      </c>
      <c r="Q169" s="3">
        <v>107</v>
      </c>
      <c r="R169" s="3" t="str">
        <f>IFERROR(MID(VLOOKUP($B169,Seqs!$A:$B,2,0),S169,1),"")</f>
        <v>F</v>
      </c>
      <c r="S169" s="3">
        <v>112</v>
      </c>
      <c r="T169" s="3" t="str">
        <f>IFERROR(MID(VLOOKUP($B169,Seqs!$A:$B,2,0),U169,1),"")</f>
        <v>G</v>
      </c>
      <c r="U169" s="3">
        <v>113</v>
      </c>
      <c r="V169" s="3" t="str">
        <f>IFERROR(MID(VLOOKUP($B169,Seqs!$A:$B,2,0),W169,1),"")</f>
        <v>Y</v>
      </c>
      <c r="W169" s="3">
        <v>148</v>
      </c>
      <c r="X169" s="3" t="str">
        <f>IFERROR(MID(VLOOKUP($B169,Seqs!$A:$B,2,0),Y169,1),"")</f>
        <v>P</v>
      </c>
      <c r="Y169" s="3">
        <v>149</v>
      </c>
      <c r="Z169" s="3" t="str">
        <f>IFERROR(MID(VLOOKUP($B169,Seqs!$A:$B,2,0),AA169,1),"")</f>
        <v>R</v>
      </c>
      <c r="AA169" s="3">
        <v>155</v>
      </c>
      <c r="AB169" s="3" t="str">
        <f>IFERROR(MID(VLOOKUP($B169,Seqs!$A:$B,2,0),AC169,1),"")</f>
        <v>N</v>
      </c>
      <c r="AC169" s="3">
        <v>156</v>
      </c>
      <c r="AD169" s="3" t="str">
        <f>IFERROR(MID(VLOOKUP($B169,Seqs!$A:$B,2,0),AE169,1),"")</f>
        <v>R</v>
      </c>
      <c r="AE169" s="3">
        <v>182</v>
      </c>
      <c r="AF169" s="3" t="str">
        <f>IFERROR(MID(VLOOKUP($B169,Seqs!$A:$B,2,0),AG169,1),"")</f>
        <v>C</v>
      </c>
      <c r="AG169" s="3">
        <v>195</v>
      </c>
      <c r="AH169" s="3" t="str">
        <f>IFERROR(MID(VLOOKUP($B169,Seqs!$A:$B,2,0),AI169,1),"")</f>
        <v>M</v>
      </c>
      <c r="AI169" s="3">
        <v>197</v>
      </c>
      <c r="AJ169" s="3" t="str">
        <f>IFERROR(MID(VLOOKUP($B169,Seqs!$A:$B,2,0),AK169,1),"")</f>
        <v>K</v>
      </c>
      <c r="AK169" s="3">
        <v>203</v>
      </c>
      <c r="AL169" s="3" t="str">
        <f>IFERROR(MID(VLOOKUP($B169,Seqs!$A:$B,2,0),AM169,1),"")</f>
        <v>T</v>
      </c>
      <c r="AM169" s="3">
        <v>241</v>
      </c>
      <c r="AN169" s="3" t="str">
        <f>IFERROR(MID(VLOOKUP($B169,Seqs!$A:$B,2,0),AO169,1),"")</f>
        <v>G</v>
      </c>
      <c r="AO169" s="3">
        <v>245</v>
      </c>
      <c r="AP169" s="3" t="str">
        <f>IFERROR(MID(VLOOKUP($B169,Seqs!$A:$B,2,0),AQ169,1),"")</f>
        <v>G</v>
      </c>
      <c r="AQ169" s="3">
        <v>285</v>
      </c>
      <c r="AR169" s="3" t="str">
        <f>IFERROR(MID(VLOOKUP($B169,Seqs!$A:$B,2,0),AS169,1),"")</f>
        <v>S</v>
      </c>
      <c r="AS169" s="3">
        <v>289</v>
      </c>
      <c r="AT169" s="3" t="str">
        <f>IFERROR(MID(VLOOKUP($B169,Seqs!$A:$B,2,0),AU169,1),"")</f>
        <v>V</v>
      </c>
      <c r="AU169" s="3">
        <v>321</v>
      </c>
      <c r="AV169" s="3" t="str">
        <f>IFERROR(MID(VLOOKUP($B169,Seqs!$A:$B,2,0),AW169,1),"")</f>
        <v>G</v>
      </c>
      <c r="AW169" s="3">
        <v>322</v>
      </c>
      <c r="AX169" s="3" t="str">
        <f>IFERROR(MID(VLOOKUP($B169,Seqs!$A:$B,2,0),AY169,1),"")</f>
        <v>P</v>
      </c>
      <c r="AY169" s="3">
        <v>336</v>
      </c>
      <c r="AZ169" s="77" t="str">
        <f>VLOOKUP(B169,Classification!A:D,2,0)</f>
        <v>A</v>
      </c>
      <c r="BA169" s="94" t="str">
        <f>VLOOKUP(B169,Classification!A:D,4,0)</f>
        <v>Angiotensin</v>
      </c>
      <c r="BB169" s="27" t="b">
        <f t="shared" ref="BB169:BB182" si="1428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 t="shared" ref="BC169:BC182" si="1429">_xlfn.AGGREGATE(9,6,CH169:CS169)-_xlfn.AGGREGATE(9,6,BV169:CG169)+12</f>
        <v>265</v>
      </c>
      <c r="BD169" s="2" t="s">
        <v>23</v>
      </c>
      <c r="BE169" s="3" t="s">
        <v>23</v>
      </c>
      <c r="BF169" s="118" t="s">
        <v>23</v>
      </c>
      <c r="BG169" s="49" t="s">
        <v>1373</v>
      </c>
      <c r="BH169" s="49" t="s">
        <v>1373</v>
      </c>
      <c r="BI169" s="1"/>
      <c r="BJ169" s="70" t="s">
        <v>1283</v>
      </c>
      <c r="BK169" s="57" t="s">
        <v>1283</v>
      </c>
      <c r="BL169" s="57" t="s">
        <v>1283</v>
      </c>
      <c r="BM169" s="57" t="s">
        <v>1283</v>
      </c>
      <c r="BN169" s="57" t="s">
        <v>1283</v>
      </c>
      <c r="BO169" s="57" t="s">
        <v>1283</v>
      </c>
      <c r="BP169" s="57" t="s">
        <v>1283</v>
      </c>
      <c r="BQ169" s="57" t="s">
        <v>1283</v>
      </c>
      <c r="BR169" s="57" t="s">
        <v>1283</v>
      </c>
      <c r="BS169" s="57" t="s">
        <v>1283</v>
      </c>
      <c r="BT169" s="57" t="s">
        <v>1283</v>
      </c>
      <c r="BU169" s="57" t="s">
        <v>1283</v>
      </c>
      <c r="BV169" s="70">
        <f t="shared" ref="BV169:BV182" si="1430">E169</f>
        <v>45</v>
      </c>
      <c r="BW169" s="71" t="str">
        <f t="shared" ref="BW169:BW182" si="1431">I169</f>
        <v>-</v>
      </c>
      <c r="BX169" s="72">
        <f t="shared" ref="BX169:BX182" si="1432">M169</f>
        <v>78</v>
      </c>
      <c r="BY169" s="71">
        <f t="shared" ref="BY169:BY182" si="1433">Q169</f>
        <v>107</v>
      </c>
      <c r="BZ169" s="72">
        <f t="shared" ref="BZ169:BZ182" si="1434">U169</f>
        <v>113</v>
      </c>
      <c r="CA169" s="71">
        <f t="shared" ref="CA169:CA182" si="1435">Y169</f>
        <v>149</v>
      </c>
      <c r="CB169" s="72">
        <f t="shared" ref="CB169:CB182" si="1436">AC169</f>
        <v>156</v>
      </c>
      <c r="CC169" s="71">
        <f t="shared" ref="CC169:CC182" si="1437">AG169</f>
        <v>195</v>
      </c>
      <c r="CD169" s="72">
        <f t="shared" ref="CD169:CD182" si="1438">AK169</f>
        <v>203</v>
      </c>
      <c r="CE169" s="71">
        <f t="shared" ref="CE169:CE182" si="1439">AO169</f>
        <v>245</v>
      </c>
      <c r="CF169" s="72">
        <f t="shared" ref="CF169:CF182" si="1440">AS169</f>
        <v>289</v>
      </c>
      <c r="CG169" s="71">
        <f t="shared" ref="CG169:CG182" si="1441">AW169</f>
        <v>322</v>
      </c>
      <c r="CH169" s="70">
        <f t="shared" ref="CH169:CH182" si="1442">G169</f>
        <v>72</v>
      </c>
      <c r="CI169" s="71" t="str">
        <f t="shared" ref="CI169:CI182" si="1443">K169</f>
        <v>-</v>
      </c>
      <c r="CJ169" s="72">
        <f t="shared" ref="CJ169:CJ182" si="1444">O169</f>
        <v>106</v>
      </c>
      <c r="CK169" s="72">
        <f t="shared" ref="CK169:CK182" si="1445">S169</f>
        <v>112</v>
      </c>
      <c r="CL169" s="72">
        <f t="shared" ref="CL169:CL182" si="1446">W169</f>
        <v>148</v>
      </c>
      <c r="CM169" s="72">
        <f t="shared" ref="CM169:CM182" si="1447">AA169</f>
        <v>155</v>
      </c>
      <c r="CN169" s="72">
        <f t="shared" ref="CN169:CN182" si="1448">AE169</f>
        <v>182</v>
      </c>
      <c r="CO169" s="72">
        <f t="shared" ref="CO169:CO182" si="1449">AI169</f>
        <v>197</v>
      </c>
      <c r="CP169" s="72">
        <f t="shared" ref="CP169:CP182" si="1450">AM169</f>
        <v>241</v>
      </c>
      <c r="CQ169" s="72">
        <f t="shared" ref="CQ169:CQ182" si="1451">AQ169</f>
        <v>285</v>
      </c>
      <c r="CR169" s="72">
        <f t="shared" ref="CR169:CR182" si="1452">AU169</f>
        <v>321</v>
      </c>
      <c r="CS169" s="72">
        <f t="shared" ref="CS169:CS182" si="1453">AY169</f>
        <v>336</v>
      </c>
      <c r="CT169" s="23" t="e">
        <f t="shared" ref="CT169:CT182" si="1454">M169-K169</f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si="1427"/>
        <v>agtr2_human_5UNF</v>
      </c>
      <c r="B170" s="3" t="s">
        <v>159</v>
      </c>
      <c r="C170" s="3" t="s">
        <v>1388</v>
      </c>
      <c r="D170" s="3" t="str">
        <f>IFERROR(MID(VLOOKUP($B170,Seqs!$A:$B,2,0),E170,1),"")</f>
        <v>A</v>
      </c>
      <c r="E170" s="3">
        <v>46</v>
      </c>
      <c r="F170" s="3" t="str">
        <f>IFERROR(MID(VLOOKUP($B170,Seqs!$A:$B,2,0),G170,1),"")</f>
        <v>Q</v>
      </c>
      <c r="G170" s="3">
        <v>72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V</v>
      </c>
      <c r="M170" s="3">
        <v>78</v>
      </c>
      <c r="N170" s="3" t="str">
        <f>IFERROR(MID(VLOOKUP($B170,Seqs!$A:$B,2,0),O170,1),"")</f>
        <v>Y</v>
      </c>
      <c r="O170" s="3">
        <v>106</v>
      </c>
      <c r="P170" s="3" t="str">
        <f>IFERROR(MID(VLOOKUP($B170,Seqs!$A:$B,2,0),Q170,1),"")</f>
        <v>R</v>
      </c>
      <c r="Q170" s="3">
        <v>107</v>
      </c>
      <c r="R170" s="3" t="str">
        <f>IFERROR(MID(VLOOKUP($B170,Seqs!$A:$B,2,0),S170,1),"")</f>
        <v>F</v>
      </c>
      <c r="S170" s="3">
        <v>112</v>
      </c>
      <c r="T170" s="3" t="str">
        <f>IFERROR(MID(VLOOKUP($B170,Seqs!$A:$B,2,0),U170,1),"")</f>
        <v>G</v>
      </c>
      <c r="U170" s="3">
        <v>113</v>
      </c>
      <c r="V170" s="3" t="str">
        <f>IFERROR(MID(VLOOKUP($B170,Seqs!$A:$B,2,0),W170,1),"")</f>
        <v>Y</v>
      </c>
      <c r="W170" s="3">
        <v>148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W</v>
      </c>
      <c r="AC170" s="3">
        <v>158</v>
      </c>
      <c r="AD170" s="3" t="str">
        <f>IFERROR(MID(VLOOKUP($B170,Seqs!$A:$B,2,0),AE170,1),"")</f>
        <v>R</v>
      </c>
      <c r="AE170" s="3">
        <v>182</v>
      </c>
      <c r="AF170" s="3" t="str">
        <f>IFERROR(MID(VLOOKUP($B170,Seqs!$A:$B,2,0),AG170,1),"")</f>
        <v>C</v>
      </c>
      <c r="AG170" s="3">
        <v>195</v>
      </c>
      <c r="AH170" s="3" t="str">
        <f>IFERROR(MID(VLOOKUP($B170,Seqs!$A:$B,2,0),AI170,1),"")</f>
        <v>M</v>
      </c>
      <c r="AI170" s="3">
        <v>197</v>
      </c>
      <c r="AJ170" s="3" t="str">
        <f>IFERROR(MID(VLOOKUP($B170,Seqs!$A:$B,2,0),AK170,1),"")</f>
        <v>Y</v>
      </c>
      <c r="AK170" s="3">
        <v>204</v>
      </c>
      <c r="AL170" s="3" t="str">
        <f>IFERROR(MID(VLOOKUP($B170,Seqs!$A:$B,2,0),AM170,1),"")</f>
        <v>T</v>
      </c>
      <c r="AM170" s="3">
        <v>241</v>
      </c>
      <c r="AN170" s="3" t="str">
        <f>IFERROR(MID(VLOOKUP($B170,Seqs!$A:$B,2,0),AO170,1),"")</f>
        <v>G</v>
      </c>
      <c r="AO170" s="3">
        <v>245</v>
      </c>
      <c r="AP170" s="3" t="str">
        <f>IFERROR(MID(VLOOKUP($B170,Seqs!$A:$B,2,0),AQ170,1),"")</f>
        <v>G</v>
      </c>
      <c r="AQ170" s="3">
        <v>285</v>
      </c>
      <c r="AR170" s="3" t="str">
        <f>IFERROR(MID(VLOOKUP($B170,Seqs!$A:$B,2,0),AS170,1),"")</f>
        <v>C</v>
      </c>
      <c r="AS170" s="3">
        <v>290</v>
      </c>
      <c r="AT170" s="3" t="str">
        <f>IFERROR(MID(VLOOKUP($B170,Seqs!$A:$B,2,0),AU170,1),"")</f>
        <v>V</v>
      </c>
      <c r="AU170" s="3">
        <v>321</v>
      </c>
      <c r="AV170" s="3" t="str">
        <f>IFERROR(MID(VLOOKUP($B170,Seqs!$A:$B,2,0),AW170,1),"")</f>
        <v>G</v>
      </c>
      <c r="AW170" s="3">
        <v>322</v>
      </c>
      <c r="AX170" s="3" t="str">
        <f>IFERROR(MID(VLOOKUP($B170,Seqs!$A:$B,2,0),AY170,1),"")</f>
        <v>R</v>
      </c>
      <c r="AY170" s="3">
        <v>334</v>
      </c>
      <c r="AZ170" s="77"/>
      <c r="BA170" s="94" t="str">
        <f>VLOOKUP(B170,Classification!A:D,4,0)</f>
        <v>Angiotensin</v>
      </c>
      <c r="BB170" s="27" t="b">
        <f t="shared" si="1428"/>
        <v>1</v>
      </c>
      <c r="BC170" s="23">
        <f t="shared" si="1429"/>
        <v>252</v>
      </c>
      <c r="BD170" s="2" t="s">
        <v>23</v>
      </c>
      <c r="BE170" s="3" t="s">
        <v>1287</v>
      </c>
      <c r="BF170" s="118">
        <v>2.8</v>
      </c>
      <c r="BG170" s="49" t="s">
        <v>1373</v>
      </c>
      <c r="BH170" s="49" t="s">
        <v>1</v>
      </c>
      <c r="BI170" s="1"/>
      <c r="BJ170" s="70" t="s">
        <v>1283</v>
      </c>
      <c r="BK170" s="57" t="s">
        <v>1283</v>
      </c>
      <c r="BL170" s="57" t="s">
        <v>1283</v>
      </c>
      <c r="BM170" s="57" t="s">
        <v>1283</v>
      </c>
      <c r="BN170" s="57" t="s">
        <v>1283</v>
      </c>
      <c r="BO170" s="57" t="s">
        <v>1283</v>
      </c>
      <c r="BP170" s="57" t="s">
        <v>1283</v>
      </c>
      <c r="BQ170" s="57" t="s">
        <v>1283</v>
      </c>
      <c r="BR170" s="57" t="s">
        <v>1283</v>
      </c>
      <c r="BS170" s="57" t="s">
        <v>1283</v>
      </c>
      <c r="BT170" s="57" t="s">
        <v>1283</v>
      </c>
      <c r="BU170" s="57" t="s">
        <v>1283</v>
      </c>
      <c r="BV170" s="70">
        <f t="shared" si="1430"/>
        <v>46</v>
      </c>
      <c r="BW170" s="71" t="str">
        <f t="shared" si="1431"/>
        <v>-</v>
      </c>
      <c r="BX170" s="72">
        <f t="shared" si="1432"/>
        <v>78</v>
      </c>
      <c r="BY170" s="71">
        <f t="shared" si="1433"/>
        <v>107</v>
      </c>
      <c r="BZ170" s="72">
        <f t="shared" si="1434"/>
        <v>113</v>
      </c>
      <c r="CA170" s="71" t="str">
        <f t="shared" si="1435"/>
        <v>-</v>
      </c>
      <c r="CB170" s="72">
        <f t="shared" si="1436"/>
        <v>158</v>
      </c>
      <c r="CC170" s="71">
        <f t="shared" si="1437"/>
        <v>195</v>
      </c>
      <c r="CD170" s="72">
        <f t="shared" si="1438"/>
        <v>204</v>
      </c>
      <c r="CE170" s="71">
        <f t="shared" si="1439"/>
        <v>245</v>
      </c>
      <c r="CF170" s="72">
        <f t="shared" si="1440"/>
        <v>290</v>
      </c>
      <c r="CG170" s="71">
        <f t="shared" si="1441"/>
        <v>322</v>
      </c>
      <c r="CH170" s="70">
        <f t="shared" si="1442"/>
        <v>72</v>
      </c>
      <c r="CI170" s="71" t="str">
        <f t="shared" si="1443"/>
        <v>-</v>
      </c>
      <c r="CJ170" s="72">
        <f t="shared" si="1444"/>
        <v>106</v>
      </c>
      <c r="CK170" s="72">
        <f t="shared" si="1445"/>
        <v>112</v>
      </c>
      <c r="CL170" s="72">
        <f t="shared" si="1446"/>
        <v>148</v>
      </c>
      <c r="CM170" s="72" t="str">
        <f t="shared" si="1447"/>
        <v>-</v>
      </c>
      <c r="CN170" s="72">
        <f t="shared" si="1448"/>
        <v>182</v>
      </c>
      <c r="CO170" s="72">
        <f t="shared" si="1449"/>
        <v>197</v>
      </c>
      <c r="CP170" s="72">
        <f t="shared" si="1450"/>
        <v>241</v>
      </c>
      <c r="CQ170" s="72">
        <f t="shared" si="1451"/>
        <v>285</v>
      </c>
      <c r="CR170" s="72">
        <f t="shared" si="1452"/>
        <v>321</v>
      </c>
      <c r="CS170" s="72">
        <f t="shared" si="1453"/>
        <v>334</v>
      </c>
      <c r="CT170" s="23" t="e">
        <f t="shared" si="1454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si="1427"/>
        <v>agtr2_human_5UNG</v>
      </c>
      <c r="B171" s="3" t="s">
        <v>159</v>
      </c>
      <c r="C171" s="3" t="s">
        <v>1390</v>
      </c>
      <c r="D171" s="3" t="str">
        <f>IFERROR(MID(VLOOKUP($B171,Seqs!$A:$B,2,0),E171,1),"")</f>
        <v>D</v>
      </c>
      <c r="E171" s="3">
        <v>45</v>
      </c>
      <c r="F171" s="3" t="str">
        <f>IFERROR(MID(VLOOKUP($B171,Seqs!$A:$B,2,0),G171,1),"")</f>
        <v>C</v>
      </c>
      <c r="G171" s="3">
        <v>71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V</v>
      </c>
      <c r="M171" s="3">
        <v>78</v>
      </c>
      <c r="N171" s="3" t="str">
        <f>IFERROR(MID(VLOOKUP($B171,Seqs!$A:$B,2,0),O171,1),"")</f>
        <v>Y</v>
      </c>
      <c r="O171" s="3">
        <v>106</v>
      </c>
      <c r="P171" s="3" t="str">
        <f>IFERROR(MID(VLOOKUP($B171,Seqs!$A:$B,2,0),Q171,1),"")</f>
        <v>R</v>
      </c>
      <c r="Q171" s="3">
        <v>107</v>
      </c>
      <c r="R171" s="3" t="str">
        <f>IFERROR(MID(VLOOKUP($B171,Seqs!$A:$B,2,0),S171,1),"")</f>
        <v>F</v>
      </c>
      <c r="S171" s="3">
        <v>112</v>
      </c>
      <c r="T171" s="3" t="str">
        <f>IFERROR(MID(VLOOKUP($B171,Seqs!$A:$B,2,0),U171,1),"")</f>
        <v>G</v>
      </c>
      <c r="U171" s="3">
        <v>113</v>
      </c>
      <c r="V171" s="3" t="str">
        <f>IFERROR(MID(VLOOKUP($B171,Seqs!$A:$B,2,0),W171,1),"")</f>
        <v>Y</v>
      </c>
      <c r="W171" s="3">
        <v>148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Q</v>
      </c>
      <c r="AC171" s="3">
        <v>159</v>
      </c>
      <c r="AD171" s="3" t="str">
        <f>IFERROR(MID(VLOOKUP($B171,Seqs!$A:$B,2,0),AE171,1),"")</f>
        <v>R</v>
      </c>
      <c r="AE171" s="3">
        <v>182</v>
      </c>
      <c r="AF171" s="3" t="str">
        <f>IFERROR(MID(VLOOKUP($B171,Seqs!$A:$B,2,0),AG171,1),"")</f>
        <v>C</v>
      </c>
      <c r="AG171" s="3">
        <v>195</v>
      </c>
      <c r="AH171" s="3" t="str">
        <f>IFERROR(MID(VLOOKUP($B171,Seqs!$A:$B,2,0),AI171,1),"")</f>
        <v>M</v>
      </c>
      <c r="AI171" s="3">
        <v>197</v>
      </c>
      <c r="AJ171" s="3" t="str">
        <f>IFERROR(MID(VLOOKUP($B171,Seqs!$A:$B,2,0),AK171,1),"")</f>
        <v>K</v>
      </c>
      <c r="AK171" s="3">
        <v>203</v>
      </c>
      <c r="AL171" s="3" t="str">
        <f>IFERROR(MID(VLOOKUP($B171,Seqs!$A:$B,2,0),AM171,1),"")</f>
        <v>T</v>
      </c>
      <c r="AM171" s="3">
        <v>241</v>
      </c>
      <c r="AN171" s="3" t="str">
        <f>IFERROR(MID(VLOOKUP($B171,Seqs!$A:$B,2,0),AO171,1),"")</f>
        <v>G</v>
      </c>
      <c r="AO171" s="3">
        <v>245</v>
      </c>
      <c r="AP171" s="3" t="str">
        <f>IFERROR(MID(VLOOKUP($B171,Seqs!$A:$B,2,0),AQ171,1),"")</f>
        <v>G</v>
      </c>
      <c r="AQ171" s="3">
        <v>285</v>
      </c>
      <c r="AR171" s="3" t="str">
        <f>IFERROR(MID(VLOOKUP($B171,Seqs!$A:$B,2,0),AS171,1),"")</f>
        <v>S</v>
      </c>
      <c r="AS171" s="3">
        <v>289</v>
      </c>
      <c r="AT171" s="3" t="str">
        <f>IFERROR(MID(VLOOKUP($B171,Seqs!$A:$B,2,0),AU171,1),"")</f>
        <v>V</v>
      </c>
      <c r="AU171" s="3">
        <v>321</v>
      </c>
      <c r="AV171" s="3" t="str">
        <f>IFERROR(MID(VLOOKUP($B171,Seqs!$A:$B,2,0),AW171,1),"")</f>
        <v>G</v>
      </c>
      <c r="AW171" s="3">
        <v>322</v>
      </c>
      <c r="AX171" s="3" t="str">
        <f>IFERROR(MID(VLOOKUP($B171,Seqs!$A:$B,2,0),AY171,1),"")</f>
        <v>R</v>
      </c>
      <c r="AY171" s="3">
        <v>334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si="1428"/>
        <v>1</v>
      </c>
      <c r="BC171" s="23">
        <f t="shared" si="1429"/>
        <v>253</v>
      </c>
      <c r="BD171" s="2" t="s">
        <v>23</v>
      </c>
      <c r="BE171" s="3" t="s">
        <v>1287</v>
      </c>
      <c r="BF171" s="118">
        <v>2.8</v>
      </c>
      <c r="BG171" s="49" t="s">
        <v>1373</v>
      </c>
      <c r="BH171" s="49" t="s">
        <v>1277</v>
      </c>
      <c r="BI171" s="1"/>
      <c r="BJ171" s="70" t="s">
        <v>1283</v>
      </c>
      <c r="BK171" s="57" t="s">
        <v>1283</v>
      </c>
      <c r="BL171" s="57" t="s">
        <v>1283</v>
      </c>
      <c r="BM171" s="57" t="s">
        <v>1283</v>
      </c>
      <c r="BN171" s="57" t="s">
        <v>1283</v>
      </c>
      <c r="BO171" s="57" t="s">
        <v>1283</v>
      </c>
      <c r="BP171" s="57" t="s">
        <v>1283</v>
      </c>
      <c r="BQ171" s="57" t="s">
        <v>1283</v>
      </c>
      <c r="BR171" s="57" t="s">
        <v>1283</v>
      </c>
      <c r="BS171" s="57" t="s">
        <v>1283</v>
      </c>
      <c r="BT171" s="57" t="s">
        <v>1283</v>
      </c>
      <c r="BU171" s="57" t="s">
        <v>1283</v>
      </c>
      <c r="BV171" s="70">
        <f t="shared" si="1430"/>
        <v>45</v>
      </c>
      <c r="BW171" s="71" t="str">
        <f t="shared" si="1431"/>
        <v>-</v>
      </c>
      <c r="BX171" s="72">
        <f t="shared" si="1432"/>
        <v>78</v>
      </c>
      <c r="BY171" s="71">
        <f t="shared" si="1433"/>
        <v>107</v>
      </c>
      <c r="BZ171" s="72">
        <f t="shared" si="1434"/>
        <v>113</v>
      </c>
      <c r="CA171" s="71" t="str">
        <f t="shared" si="1435"/>
        <v>-</v>
      </c>
      <c r="CB171" s="72">
        <f t="shared" si="1436"/>
        <v>159</v>
      </c>
      <c r="CC171" s="71">
        <f t="shared" si="1437"/>
        <v>195</v>
      </c>
      <c r="CD171" s="72">
        <f t="shared" si="1438"/>
        <v>203</v>
      </c>
      <c r="CE171" s="71">
        <f t="shared" si="1439"/>
        <v>245</v>
      </c>
      <c r="CF171" s="72">
        <f t="shared" si="1440"/>
        <v>289</v>
      </c>
      <c r="CG171" s="71">
        <f t="shared" si="1441"/>
        <v>322</v>
      </c>
      <c r="CH171" s="70">
        <f t="shared" si="1442"/>
        <v>71</v>
      </c>
      <c r="CI171" s="71" t="str">
        <f t="shared" si="1443"/>
        <v>-</v>
      </c>
      <c r="CJ171" s="72">
        <f t="shared" si="1444"/>
        <v>106</v>
      </c>
      <c r="CK171" s="72">
        <f t="shared" si="1445"/>
        <v>112</v>
      </c>
      <c r="CL171" s="72">
        <f t="shared" si="1446"/>
        <v>148</v>
      </c>
      <c r="CM171" s="72" t="str">
        <f t="shared" si="1447"/>
        <v>-</v>
      </c>
      <c r="CN171" s="72">
        <f t="shared" si="1448"/>
        <v>182</v>
      </c>
      <c r="CO171" s="72">
        <f t="shared" si="1449"/>
        <v>197</v>
      </c>
      <c r="CP171" s="72">
        <f t="shared" si="1450"/>
        <v>241</v>
      </c>
      <c r="CQ171" s="72">
        <f t="shared" si="1451"/>
        <v>285</v>
      </c>
      <c r="CR171" s="72">
        <f t="shared" si="1452"/>
        <v>321</v>
      </c>
      <c r="CS171" s="72">
        <f t="shared" si="1453"/>
        <v>334</v>
      </c>
      <c r="CT171" s="23" t="e">
        <f t="shared" si="1454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 t="shared" si="1427"/>
        <v>agtr2_human_5UNH</v>
      </c>
      <c r="B172" s="3" t="s">
        <v>159</v>
      </c>
      <c r="C172" s="3" t="s">
        <v>1391</v>
      </c>
      <c r="D172" s="3" t="str">
        <f>IFERROR(MID(VLOOKUP($B172,Seqs!$A:$B,2,0),E172,1),"")</f>
        <v>D</v>
      </c>
      <c r="E172" s="3">
        <v>45</v>
      </c>
      <c r="F172" s="3" t="str">
        <f>IFERROR(MID(VLOOKUP($B172,Seqs!$A:$B,2,0),G172,1),"")</f>
        <v>C</v>
      </c>
      <c r="G172" s="3">
        <v>70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K</v>
      </c>
      <c r="M172" s="3">
        <v>77</v>
      </c>
      <c r="N172" s="3" t="str">
        <f>IFERROR(MID(VLOOKUP($B172,Seqs!$A:$B,2,0),O172,1),"")</f>
        <v>Y</v>
      </c>
      <c r="O172" s="3">
        <v>106</v>
      </c>
      <c r="P172" s="3" t="str">
        <f>IFERROR(MID(VLOOKUP($B172,Seqs!$A:$B,2,0),Q172,1),"")</f>
        <v>R</v>
      </c>
      <c r="Q172" s="3">
        <v>107</v>
      </c>
      <c r="R172" s="3" t="str">
        <f>IFERROR(MID(VLOOKUP($B172,Seqs!$A:$B,2,0),S172,1),"")</f>
        <v>F</v>
      </c>
      <c r="S172" s="3">
        <v>112</v>
      </c>
      <c r="T172" s="3" t="str">
        <f>IFERROR(MID(VLOOKUP($B172,Seqs!$A:$B,2,0),U172,1),"")</f>
        <v>G</v>
      </c>
      <c r="U172" s="3">
        <v>113</v>
      </c>
      <c r="V172" s="3" t="str">
        <f>IFERROR(MID(VLOOKUP($B172,Seqs!$A:$B,2,0),W172,1),"")</f>
        <v>Y</v>
      </c>
      <c r="W172" s="3">
        <v>148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Y</v>
      </c>
      <c r="AC172" s="3">
        <v>162</v>
      </c>
      <c r="AD172" s="3" t="str">
        <f>IFERROR(MID(VLOOKUP($B172,Seqs!$A:$B,2,0),AE172,1),"")</f>
        <v>R</v>
      </c>
      <c r="AE172" s="3">
        <v>182</v>
      </c>
      <c r="AF172" s="3" t="str">
        <f>IFERROR(MID(VLOOKUP($B172,Seqs!$A:$B,2,0),AG172,1),"")</f>
        <v>C</v>
      </c>
      <c r="AG172" s="3">
        <v>195</v>
      </c>
      <c r="AH172" s="3" t="str">
        <f>IFERROR(MID(VLOOKUP($B172,Seqs!$A:$B,2,0),AI172,1),"")</f>
        <v>M</v>
      </c>
      <c r="AI172" s="3">
        <v>197</v>
      </c>
      <c r="AJ172" s="3" t="str">
        <f>IFERROR(MID(VLOOKUP($B172,Seqs!$A:$B,2,0),AK172,1),"")</f>
        <v>Y</v>
      </c>
      <c r="AK172" s="3">
        <v>204</v>
      </c>
      <c r="AL172" s="3" t="str">
        <f>IFERROR(MID(VLOOKUP($B172,Seqs!$A:$B,2,0),AM172,1),"")</f>
        <v>T</v>
      </c>
      <c r="AM172" s="3">
        <v>241</v>
      </c>
      <c r="AN172" s="3" t="str">
        <f>IFERROR(MID(VLOOKUP($B172,Seqs!$A:$B,2,0),AO172,1),"")</f>
        <v>G</v>
      </c>
      <c r="AO172" s="3">
        <v>245</v>
      </c>
      <c r="AP172" s="3" t="str">
        <f>IFERROR(MID(VLOOKUP($B172,Seqs!$A:$B,2,0),AQ172,1),"")</f>
        <v>G</v>
      </c>
      <c r="AQ172" s="3">
        <v>285</v>
      </c>
      <c r="AR172" s="3" t="str">
        <f>IFERROR(MID(VLOOKUP($B172,Seqs!$A:$B,2,0),AS172,1),"")</f>
        <v>S</v>
      </c>
      <c r="AS172" s="3">
        <v>289</v>
      </c>
      <c r="AT172" s="3" t="str">
        <f>IFERROR(MID(VLOOKUP($B172,Seqs!$A:$B,2,0),AU172,1),"")</f>
        <v>V</v>
      </c>
      <c r="AU172" s="3">
        <v>321</v>
      </c>
      <c r="AV172" s="3" t="str">
        <f>IFERROR(MID(VLOOKUP($B172,Seqs!$A:$B,2,0),AW172,1),"")</f>
        <v>G</v>
      </c>
      <c r="AW172" s="3">
        <v>322</v>
      </c>
      <c r="AX172" s="3" t="str">
        <f>IFERROR(MID(VLOOKUP($B172,Seqs!$A:$B,2,0),AY172,1),"")</f>
        <v>V</v>
      </c>
      <c r="AY172" s="3">
        <v>332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si="1428"/>
        <v>1</v>
      </c>
      <c r="BC172" s="23">
        <f t="shared" si="1429"/>
        <v>247</v>
      </c>
      <c r="BD172" s="2" t="s">
        <v>23</v>
      </c>
      <c r="BE172" s="3" t="s">
        <v>1287</v>
      </c>
      <c r="BF172" s="118">
        <v>2.9</v>
      </c>
      <c r="BG172" s="49" t="s">
        <v>1373</v>
      </c>
      <c r="BH172" s="49" t="s">
        <v>1277</v>
      </c>
      <c r="BI172" s="1"/>
      <c r="BJ172" s="70" t="s">
        <v>1283</v>
      </c>
      <c r="BK172" s="57" t="s">
        <v>1283</v>
      </c>
      <c r="BL172" s="57" t="s">
        <v>1283</v>
      </c>
      <c r="BM172" s="57" t="s">
        <v>1283</v>
      </c>
      <c r="BN172" s="57" t="s">
        <v>1283</v>
      </c>
      <c r="BO172" s="57" t="s">
        <v>1283</v>
      </c>
      <c r="BP172" s="57" t="s">
        <v>1283</v>
      </c>
      <c r="BQ172" s="57" t="s">
        <v>1283</v>
      </c>
      <c r="BR172" s="57" t="s">
        <v>1283</v>
      </c>
      <c r="BS172" s="57" t="s">
        <v>1283</v>
      </c>
      <c r="BT172" s="57" t="s">
        <v>1283</v>
      </c>
      <c r="BU172" s="57" t="s">
        <v>1283</v>
      </c>
      <c r="BV172" s="70">
        <f t="shared" si="1430"/>
        <v>45</v>
      </c>
      <c r="BW172" s="71" t="str">
        <f t="shared" si="1431"/>
        <v>-</v>
      </c>
      <c r="BX172" s="72">
        <f t="shared" si="1432"/>
        <v>77</v>
      </c>
      <c r="BY172" s="71">
        <f t="shared" si="1433"/>
        <v>107</v>
      </c>
      <c r="BZ172" s="72">
        <f t="shared" si="1434"/>
        <v>113</v>
      </c>
      <c r="CA172" s="71" t="str">
        <f t="shared" si="1435"/>
        <v>-</v>
      </c>
      <c r="CB172" s="72">
        <f t="shared" si="1436"/>
        <v>162</v>
      </c>
      <c r="CC172" s="71">
        <f t="shared" si="1437"/>
        <v>195</v>
      </c>
      <c r="CD172" s="72">
        <f t="shared" si="1438"/>
        <v>204</v>
      </c>
      <c r="CE172" s="71">
        <f t="shared" si="1439"/>
        <v>245</v>
      </c>
      <c r="CF172" s="72">
        <f t="shared" si="1440"/>
        <v>289</v>
      </c>
      <c r="CG172" s="71">
        <f t="shared" si="1441"/>
        <v>322</v>
      </c>
      <c r="CH172" s="70">
        <f t="shared" si="1442"/>
        <v>70</v>
      </c>
      <c r="CI172" s="71" t="str">
        <f t="shared" si="1443"/>
        <v>-</v>
      </c>
      <c r="CJ172" s="72">
        <f t="shared" si="1444"/>
        <v>106</v>
      </c>
      <c r="CK172" s="72">
        <f t="shared" si="1445"/>
        <v>112</v>
      </c>
      <c r="CL172" s="72">
        <f t="shared" si="1446"/>
        <v>148</v>
      </c>
      <c r="CM172" s="72" t="str">
        <f t="shared" si="1447"/>
        <v>-</v>
      </c>
      <c r="CN172" s="72">
        <f t="shared" si="1448"/>
        <v>182</v>
      </c>
      <c r="CO172" s="72">
        <f t="shared" si="1449"/>
        <v>197</v>
      </c>
      <c r="CP172" s="72">
        <f t="shared" si="1450"/>
        <v>241</v>
      </c>
      <c r="CQ172" s="72">
        <f t="shared" si="1451"/>
        <v>285</v>
      </c>
      <c r="CR172" s="72">
        <f t="shared" si="1452"/>
        <v>321</v>
      </c>
      <c r="CS172" s="72">
        <f t="shared" si="1453"/>
        <v>332</v>
      </c>
      <c r="CT172" s="23" t="e">
        <f t="shared" si="1454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ref="A173" si="1455">CONCATENATE(B173,"_",C173)</f>
        <v>agtr2_human_5XJM</v>
      </c>
      <c r="B173" s="3" t="s">
        <v>159</v>
      </c>
      <c r="C173" s="3" t="s">
        <v>1507</v>
      </c>
      <c r="D173" s="3" t="str">
        <f>IFERROR(MID(VLOOKUP($B173,Seqs!$A:$B,2,0),E173,1),"")</f>
        <v>A</v>
      </c>
      <c r="E173" s="3">
        <v>46</v>
      </c>
      <c r="F173" s="3" t="str">
        <f>IFERROR(MID(VLOOKUP($B173,Seqs!$A:$B,2,0),G173,1),"")</f>
        <v>K</v>
      </c>
      <c r="G173" s="3">
        <v>73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V</v>
      </c>
      <c r="M173" s="3">
        <v>78</v>
      </c>
      <c r="N173" s="3" t="str">
        <f>IFERROR(MID(VLOOKUP($B173,Seqs!$A:$B,2,0),O173,1),"")</f>
        <v>Y</v>
      </c>
      <c r="O173" s="3">
        <v>106</v>
      </c>
      <c r="P173" s="3" t="str">
        <f>IFERROR(MID(VLOOKUP($B173,Seqs!$A:$B,2,0),Q173,1),"")</f>
        <v>R</v>
      </c>
      <c r="Q173" s="3">
        <v>107</v>
      </c>
      <c r="R173" s="3" t="str">
        <f>IFERROR(MID(VLOOKUP($B173,Seqs!$A:$B,2,0),S173,1),"")</f>
        <v>F</v>
      </c>
      <c r="S173" s="3">
        <v>112</v>
      </c>
      <c r="T173" s="3" t="str">
        <f>IFERROR(MID(VLOOKUP($B173,Seqs!$A:$B,2,0),U173,1),"")</f>
        <v>G</v>
      </c>
      <c r="U173" s="3">
        <v>113</v>
      </c>
      <c r="V173" s="3" t="str">
        <f>IFERROR(MID(VLOOKUP($B173,Seqs!$A:$B,2,0),W173,1),"")</f>
        <v>Y</v>
      </c>
      <c r="W173" s="3">
        <v>148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R</v>
      </c>
      <c r="AC173" s="3">
        <v>155</v>
      </c>
      <c r="AD173" s="3" t="str">
        <f>IFERROR(MID(VLOOKUP($B173,Seqs!$A:$B,2,0),AE173,1),"")</f>
        <v>F</v>
      </c>
      <c r="AE173" s="3">
        <v>181</v>
      </c>
      <c r="AF173" s="3" t="str">
        <f>IFERROR(MID(VLOOKUP($B173,Seqs!$A:$B,2,0),AG173,1),"")</f>
        <v>C</v>
      </c>
      <c r="AG173" s="3">
        <v>195</v>
      </c>
      <c r="AH173" s="3" t="str">
        <f>IFERROR(MID(VLOOKUP($B173,Seqs!$A:$B,2,0),AI173,1),"")</f>
        <v>M</v>
      </c>
      <c r="AI173" s="3">
        <v>197</v>
      </c>
      <c r="AJ173" s="3" t="str">
        <f>IFERROR(MID(VLOOKUP($B173,Seqs!$A:$B,2,0),AK173,1),"")</f>
        <v>K</v>
      </c>
      <c r="AK173" s="3">
        <v>203</v>
      </c>
      <c r="AL173" s="3" t="str">
        <f>IFERROR(MID(VLOOKUP($B173,Seqs!$A:$B,2,0),AM173,1),"")</f>
        <v>N</v>
      </c>
      <c r="AM173" s="3">
        <v>242</v>
      </c>
      <c r="AN173" s="3" t="str">
        <f>IFERROR(MID(VLOOKUP($B173,Seqs!$A:$B,2,0),AO173,1),"")</f>
        <v>N</v>
      </c>
      <c r="AO173" s="3">
        <v>247</v>
      </c>
      <c r="AP173" s="3" t="str">
        <f>IFERROR(MID(VLOOKUP($B173,Seqs!$A:$B,2,0),AQ173,1),"")</f>
        <v>G</v>
      </c>
      <c r="AQ173" s="3">
        <v>285</v>
      </c>
      <c r="AR173" s="3" t="str">
        <f>IFERROR(MID(VLOOKUP($B173,Seqs!$A:$B,2,0),AS173,1),"")</f>
        <v>S</v>
      </c>
      <c r="AS173" s="3">
        <v>289</v>
      </c>
      <c r="AT173" s="3" t="str">
        <f>IFERROR(MID(VLOOKUP($B173,Seqs!$A:$B,2,0),AU173,1),"")</f>
        <v>F</v>
      </c>
      <c r="AU173" s="3">
        <v>320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Angiotensin</v>
      </c>
      <c r="BB173" s="27" t="b">
        <f t="shared" ref="BB173" si="1456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 t="shared" ref="BC173" si="1457">_xlfn.AGGREGATE(9,6,CH173:CS173)-_xlfn.AGGREGATE(9,6,BV173:CG173)+12</f>
        <v>243</v>
      </c>
      <c r="BD173" s="2" t="s">
        <v>23</v>
      </c>
      <c r="BE173" s="3" t="s">
        <v>1287</v>
      </c>
      <c r="BF173" s="118">
        <v>3.2</v>
      </c>
      <c r="BG173" s="49" t="s">
        <v>1</v>
      </c>
      <c r="BH173" s="49" t="s">
        <v>1</v>
      </c>
      <c r="BI173" s="1"/>
      <c r="BJ173" s="70" t="s">
        <v>1283</v>
      </c>
      <c r="BK173" s="57" t="s">
        <v>1283</v>
      </c>
      <c r="BL173" s="57" t="s">
        <v>1283</v>
      </c>
      <c r="BM173" s="57" t="s">
        <v>1283</v>
      </c>
      <c r="BN173" s="57" t="s">
        <v>1283</v>
      </c>
      <c r="BO173" s="57" t="s">
        <v>1283</v>
      </c>
      <c r="BP173" s="57" t="s">
        <v>1283</v>
      </c>
      <c r="BQ173" s="57" t="s">
        <v>1283</v>
      </c>
      <c r="BR173" s="57" t="s">
        <v>1283</v>
      </c>
      <c r="BS173" s="57" t="s">
        <v>1283</v>
      </c>
      <c r="BT173" s="57" t="s">
        <v>1283</v>
      </c>
      <c r="BU173" s="57" t="s">
        <v>1283</v>
      </c>
      <c r="BV173" s="70">
        <f t="shared" ref="BV173" si="1458">E173</f>
        <v>46</v>
      </c>
      <c r="BW173" s="71" t="str">
        <f t="shared" ref="BW173" si="1459">I173</f>
        <v>-</v>
      </c>
      <c r="BX173" s="72">
        <f t="shared" ref="BX173" si="1460">M173</f>
        <v>78</v>
      </c>
      <c r="BY173" s="71">
        <f t="shared" ref="BY173" si="1461">Q173</f>
        <v>107</v>
      </c>
      <c r="BZ173" s="72">
        <f t="shared" ref="BZ173" si="1462">U173</f>
        <v>113</v>
      </c>
      <c r="CA173" s="71" t="str">
        <f t="shared" ref="CA173" si="1463">Y173</f>
        <v>-</v>
      </c>
      <c r="CB173" s="72">
        <f t="shared" ref="CB173" si="1464">AC173</f>
        <v>155</v>
      </c>
      <c r="CC173" s="71">
        <f t="shared" ref="CC173" si="1465">AG173</f>
        <v>195</v>
      </c>
      <c r="CD173" s="72">
        <f t="shared" ref="CD173" si="1466">AK173</f>
        <v>203</v>
      </c>
      <c r="CE173" s="71">
        <f t="shared" ref="CE173" si="1467">AO173</f>
        <v>247</v>
      </c>
      <c r="CF173" s="72">
        <f t="shared" ref="CF173" si="1468">AS173</f>
        <v>289</v>
      </c>
      <c r="CG173" s="71" t="str">
        <f t="shared" ref="CG173" si="1469">AW173</f>
        <v>-</v>
      </c>
      <c r="CH173" s="70">
        <f t="shared" ref="CH173" si="1470">G173</f>
        <v>73</v>
      </c>
      <c r="CI173" s="71" t="str">
        <f t="shared" ref="CI173" si="1471">K173</f>
        <v>-</v>
      </c>
      <c r="CJ173" s="72">
        <f t="shared" ref="CJ173" si="1472">O173</f>
        <v>106</v>
      </c>
      <c r="CK173" s="72">
        <f t="shared" ref="CK173" si="1473">S173</f>
        <v>112</v>
      </c>
      <c r="CL173" s="72">
        <f t="shared" ref="CL173" si="1474">W173</f>
        <v>148</v>
      </c>
      <c r="CM173" s="72" t="str">
        <f t="shared" ref="CM173" si="1475">AA173</f>
        <v>-</v>
      </c>
      <c r="CN173" s="72">
        <f t="shared" ref="CN173" si="1476">AE173</f>
        <v>181</v>
      </c>
      <c r="CO173" s="72">
        <f t="shared" ref="CO173" si="1477">AI173</f>
        <v>197</v>
      </c>
      <c r="CP173" s="72">
        <f t="shared" ref="CP173" si="1478">AM173</f>
        <v>242</v>
      </c>
      <c r="CQ173" s="72">
        <f t="shared" ref="CQ173" si="1479">AQ173</f>
        <v>285</v>
      </c>
      <c r="CR173" s="72">
        <f t="shared" ref="CR173" si="1480">AU173</f>
        <v>320</v>
      </c>
      <c r="CS173" s="72" t="str">
        <f t="shared" ref="CS173" si="1481">AY173</f>
        <v>-</v>
      </c>
      <c r="CT173" s="23" t="e">
        <f t="shared" ref="CT173" si="1482"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ref="A174" si="1483">CONCATENATE(B174,"_",C174)</f>
        <v>agtr2_human_6JOD</v>
      </c>
      <c r="B174" s="3" t="s">
        <v>159</v>
      </c>
      <c r="C174" s="3" t="s">
        <v>1630</v>
      </c>
      <c r="D174" s="3" t="str">
        <f>IFERROR(MID(VLOOKUP($B174,Seqs!$A:$B,2,0),E174,1),"")</f>
        <v>A</v>
      </c>
      <c r="E174" s="3">
        <v>46</v>
      </c>
      <c r="F174" s="3" t="str">
        <f>IFERROR(MID(VLOOKUP($B174,Seqs!$A:$B,2,0),G174,1),"")</f>
        <v>C</v>
      </c>
      <c r="G174" s="3">
        <v>70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K</v>
      </c>
      <c r="M174" s="3">
        <v>77</v>
      </c>
      <c r="N174" s="3" t="str">
        <f>IFERROR(MID(VLOOKUP($B174,Seqs!$A:$B,2,0),O174,1),"")</f>
        <v>Y</v>
      </c>
      <c r="O174" s="3">
        <v>106</v>
      </c>
      <c r="P174" s="3" t="str">
        <f>IFERROR(MID(VLOOKUP($B174,Seqs!$A:$B,2,0),Q174,1),"")</f>
        <v>R</v>
      </c>
      <c r="Q174" s="3">
        <v>107</v>
      </c>
      <c r="R174" s="3" t="str">
        <f>IFERROR(MID(VLOOKUP($B174,Seqs!$A:$B,2,0),S174,1),"")</f>
        <v>F</v>
      </c>
      <c r="S174" s="3">
        <v>112</v>
      </c>
      <c r="T174" s="3" t="str">
        <f>IFERROR(MID(VLOOKUP($B174,Seqs!$A:$B,2,0),U174,1),"")</f>
        <v>G</v>
      </c>
      <c r="U174" s="3">
        <v>113</v>
      </c>
      <c r="V174" s="3" t="str">
        <f>IFERROR(MID(VLOOKUP($B174,Seqs!$A:$B,2,0),W174,1),"")</f>
        <v>Y</v>
      </c>
      <c r="W174" s="3">
        <v>148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3">
        <v>156</v>
      </c>
      <c r="AD174" s="3" t="str">
        <f>IFERROR(MID(VLOOKUP($B174,Seqs!$A:$B,2,0),AE174,1),"")</f>
        <v>R</v>
      </c>
      <c r="AE174" s="3">
        <v>182</v>
      </c>
      <c r="AF174" s="3" t="str">
        <f>IFERROR(MID(VLOOKUP($B174,Seqs!$A:$B,2,0),AG174,1),"")</f>
        <v>C</v>
      </c>
      <c r="AG174" s="3">
        <v>195</v>
      </c>
      <c r="AH174" s="3" t="str">
        <f>IFERROR(MID(VLOOKUP($B174,Seqs!$A:$B,2,0),AI174,1),"")</f>
        <v>M</v>
      </c>
      <c r="AI174" s="3">
        <v>197</v>
      </c>
      <c r="AJ174" s="3" t="str">
        <f>IFERROR(MID(VLOOKUP($B174,Seqs!$A:$B,2,0),AK174,1),"")</f>
        <v>K</v>
      </c>
      <c r="AK174" s="3">
        <v>203</v>
      </c>
      <c r="AL174" s="3" t="str">
        <f>IFERROR(MID(VLOOKUP($B174,Seqs!$A:$B,2,0),AM174,1),"")</f>
        <v>N</v>
      </c>
      <c r="AM174" s="3">
        <v>242</v>
      </c>
      <c r="AN174" s="3" t="str">
        <f>IFERROR(MID(VLOOKUP($B174,Seqs!$A:$B,2,0),AO174,1),"")</f>
        <v>G</v>
      </c>
      <c r="AO174" s="3">
        <v>245</v>
      </c>
      <c r="AP174" s="3" t="str">
        <f>IFERROR(MID(VLOOKUP($B174,Seqs!$A:$B,2,0),AQ174,1),"")</f>
        <v>G</v>
      </c>
      <c r="AQ174" s="3">
        <v>285</v>
      </c>
      <c r="AR174" s="3" t="str">
        <f>IFERROR(MID(VLOOKUP($B174,Seqs!$A:$B,2,0),AS174,1),"")</f>
        <v>S</v>
      </c>
      <c r="AS174" s="3">
        <v>289</v>
      </c>
      <c r="AT174" s="3" t="str">
        <f>IFERROR(MID(VLOOKUP($B174,Seqs!$A:$B,2,0),AU174,1),"")</f>
        <v>V</v>
      </c>
      <c r="AU174" s="3">
        <v>321</v>
      </c>
      <c r="AV174" s="3" t="str">
        <f>IFERROR(MID(VLOOKUP($B174,Seqs!$A:$B,2,0),AW174,1),"")</f>
        <v>G</v>
      </c>
      <c r="AW174" s="3">
        <v>322</v>
      </c>
      <c r="AX174" s="3" t="str">
        <f>IFERROR(MID(VLOOKUP($B174,Seqs!$A:$B,2,0),AY174,1),"")</f>
        <v>R</v>
      </c>
      <c r="AY174" s="3">
        <v>334</v>
      </c>
      <c r="AZ174" s="77" t="str">
        <f>VLOOKUP(B174,Classification!A:D,2,0)</f>
        <v>A</v>
      </c>
      <c r="BA174" s="94" t="str">
        <f>VLOOKUP(B174,Classification!A:D,4,0)</f>
        <v>Angiotensin</v>
      </c>
      <c r="BB174" s="27" t="b">
        <f t="shared" ref="BB174" si="1484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1485">_xlfn.AGGREGATE(9,6,CH174:CS174)-_xlfn.AGGREGATE(9,6,BV174:CG174)+12</f>
        <v>256</v>
      </c>
      <c r="BD174" s="2" t="s">
        <v>1371</v>
      </c>
      <c r="BE174" s="3" t="s">
        <v>1287</v>
      </c>
      <c r="BF174" s="118">
        <v>3.2</v>
      </c>
      <c r="BG174" s="49" t="s">
        <v>1</v>
      </c>
      <c r="BH174" s="49" t="s">
        <v>1</v>
      </c>
      <c r="BI174" s="1"/>
      <c r="BJ174" s="70" t="s">
        <v>1283</v>
      </c>
      <c r="BK174" s="57" t="s">
        <v>1283</v>
      </c>
      <c r="BL174" s="57" t="s">
        <v>1283</v>
      </c>
      <c r="BM174" s="57" t="s">
        <v>1283</v>
      </c>
      <c r="BN174" s="57" t="s">
        <v>1283</v>
      </c>
      <c r="BO174" s="57" t="s">
        <v>1283</v>
      </c>
      <c r="BP174" s="57" t="s">
        <v>1283</v>
      </c>
      <c r="BQ174" s="57" t="s">
        <v>1283</v>
      </c>
      <c r="BR174" s="57" t="s">
        <v>1283</v>
      </c>
      <c r="BS174" s="57" t="s">
        <v>1283</v>
      </c>
      <c r="BT174" s="57" t="s">
        <v>1283</v>
      </c>
      <c r="BU174" s="57" t="s">
        <v>1283</v>
      </c>
      <c r="BV174" s="70">
        <f t="shared" ref="BV174" si="1486">E174</f>
        <v>46</v>
      </c>
      <c r="BW174" s="71" t="str">
        <f t="shared" ref="BW174" si="1487">I174</f>
        <v>-</v>
      </c>
      <c r="BX174" s="72">
        <f t="shared" ref="BX174" si="1488">M174</f>
        <v>77</v>
      </c>
      <c r="BY174" s="71">
        <f t="shared" ref="BY174" si="1489">Q174</f>
        <v>107</v>
      </c>
      <c r="BZ174" s="72">
        <f t="shared" ref="BZ174" si="1490">U174</f>
        <v>113</v>
      </c>
      <c r="CA174" s="71" t="str">
        <f t="shared" ref="CA174" si="1491">Y174</f>
        <v>-</v>
      </c>
      <c r="CB174" s="72">
        <f t="shared" ref="CB174" si="1492">AC174</f>
        <v>156</v>
      </c>
      <c r="CC174" s="71">
        <f t="shared" ref="CC174" si="1493">AG174</f>
        <v>195</v>
      </c>
      <c r="CD174" s="72">
        <f t="shared" ref="CD174" si="1494">AK174</f>
        <v>203</v>
      </c>
      <c r="CE174" s="71">
        <f t="shared" ref="CE174" si="1495">AO174</f>
        <v>245</v>
      </c>
      <c r="CF174" s="72">
        <f t="shared" ref="CF174" si="1496">AS174</f>
        <v>289</v>
      </c>
      <c r="CG174" s="71">
        <f t="shared" ref="CG174" si="1497">AW174</f>
        <v>322</v>
      </c>
      <c r="CH174" s="70">
        <f t="shared" ref="CH174" si="1498">G174</f>
        <v>70</v>
      </c>
      <c r="CI174" s="71" t="str">
        <f t="shared" ref="CI174" si="1499">K174</f>
        <v>-</v>
      </c>
      <c r="CJ174" s="72">
        <f t="shared" ref="CJ174" si="1500">O174</f>
        <v>106</v>
      </c>
      <c r="CK174" s="72">
        <f t="shared" ref="CK174" si="1501">S174</f>
        <v>112</v>
      </c>
      <c r="CL174" s="72">
        <f t="shared" ref="CL174" si="1502">W174</f>
        <v>148</v>
      </c>
      <c r="CM174" s="72" t="str">
        <f t="shared" ref="CM174" si="1503">AA174</f>
        <v>-</v>
      </c>
      <c r="CN174" s="72">
        <f t="shared" ref="CN174" si="1504">AE174</f>
        <v>182</v>
      </c>
      <c r="CO174" s="72">
        <f t="shared" ref="CO174" si="1505">AI174</f>
        <v>197</v>
      </c>
      <c r="CP174" s="72">
        <f t="shared" ref="CP174" si="1506">AM174</f>
        <v>242</v>
      </c>
      <c r="CQ174" s="72">
        <f t="shared" ref="CQ174" si="1507">AQ174</f>
        <v>285</v>
      </c>
      <c r="CR174" s="72">
        <f t="shared" ref="CR174" si="1508">AU174</f>
        <v>321</v>
      </c>
      <c r="CS174" s="72">
        <f t="shared" ref="CS174" si="1509">AY174</f>
        <v>334</v>
      </c>
      <c r="CT174" s="23" t="e">
        <f t="shared" ref="CT174" si="1510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s="12" customFormat="1" x14ac:dyDescent="0.2">
      <c r="A175" s="9" t="str">
        <f t="shared" ref="A175" si="1511">CONCATENATE(B175,"_",C175)</f>
        <v>agtr2_human_7C6A</v>
      </c>
      <c r="B175" s="9" t="s">
        <v>159</v>
      </c>
      <c r="C175" s="9" t="s">
        <v>1696</v>
      </c>
      <c r="D175" s="9" t="str">
        <f>IFERROR(MID(VLOOKUP($B175,Seqs!$A:$B,2,0),E175,1),"")</f>
        <v>A</v>
      </c>
      <c r="E175" s="9">
        <v>46</v>
      </c>
      <c r="F175" s="9" t="str">
        <f>IFERROR(MID(VLOOKUP($B175,Seqs!$A:$B,2,0),G175,1),"")</f>
        <v>K</v>
      </c>
      <c r="G175" s="9">
        <v>73</v>
      </c>
      <c r="H175" s="9" t="str">
        <f>IFERROR(MID(VLOOKUP($B175,Seqs!$A:$B,2,0),I175,1),"")</f>
        <v/>
      </c>
      <c r="I175" s="109" t="s">
        <v>23</v>
      </c>
      <c r="J175" s="9" t="str">
        <f>IFERROR(MID(VLOOKUP($B175,Seqs!$A:$B,2,0),K175,1),"")</f>
        <v/>
      </c>
      <c r="K175" s="109" t="s">
        <v>23</v>
      </c>
      <c r="L175" s="9" t="str">
        <f>IFERROR(MID(VLOOKUP($B175,Seqs!$A:$B,2,0),M175,1),"")</f>
        <v>K</v>
      </c>
      <c r="M175" s="9">
        <v>77</v>
      </c>
      <c r="N175" s="9" t="str">
        <f>IFERROR(MID(VLOOKUP($B175,Seqs!$A:$B,2,0),O175,1),"")</f>
        <v>Y</v>
      </c>
      <c r="O175" s="9">
        <v>106</v>
      </c>
      <c r="P175" s="9" t="str">
        <f>IFERROR(MID(VLOOKUP($B175,Seqs!$A:$B,2,0),Q175,1),"")</f>
        <v>R</v>
      </c>
      <c r="Q175" s="9">
        <v>107</v>
      </c>
      <c r="R175" s="9" t="str">
        <f>IFERROR(MID(VLOOKUP($B175,Seqs!$A:$B,2,0),S175,1),"")</f>
        <v>F</v>
      </c>
      <c r="S175" s="9">
        <v>112</v>
      </c>
      <c r="T175" s="9" t="str">
        <f>IFERROR(MID(VLOOKUP($B175,Seqs!$A:$B,2,0),U175,1),"")</f>
        <v>G</v>
      </c>
      <c r="U175" s="9">
        <v>113</v>
      </c>
      <c r="V175" s="9" t="str">
        <f>IFERROR(MID(VLOOKUP($B175,Seqs!$A:$B,2,0),W175,1),"")</f>
        <v>Y</v>
      </c>
      <c r="W175" s="9">
        <v>148</v>
      </c>
      <c r="X175" s="9" t="str">
        <f>IFERROR(MID(VLOOKUP($B175,Seqs!$A:$B,2,0),Y175,1),"")</f>
        <v/>
      </c>
      <c r="Y175" s="9" t="s">
        <v>23</v>
      </c>
      <c r="Z175" s="9" t="str">
        <f>IFERROR(MID(VLOOKUP($B175,Seqs!$A:$B,2,0),AA175,1),"")</f>
        <v/>
      </c>
      <c r="AA175" s="9" t="s">
        <v>23</v>
      </c>
      <c r="AB175" s="9" t="str">
        <f>IFERROR(MID(VLOOKUP($B175,Seqs!$A:$B,2,0),AC175,1),"")</f>
        <v>Q</v>
      </c>
      <c r="AC175" s="9">
        <v>159</v>
      </c>
      <c r="AD175" s="9" t="str">
        <f>IFERROR(MID(VLOOKUP($B175,Seqs!$A:$B,2,0),AE175,1),"")</f>
        <v>R</v>
      </c>
      <c r="AE175" s="9">
        <v>182</v>
      </c>
      <c r="AF175" s="9" t="str">
        <f>IFERROR(MID(VLOOKUP($B175,Seqs!$A:$B,2,0),AG175,1),"")</f>
        <v>C</v>
      </c>
      <c r="AG175" s="9">
        <v>195</v>
      </c>
      <c r="AH175" s="9" t="str">
        <f>IFERROR(MID(VLOOKUP($B175,Seqs!$A:$B,2,0),AI175,1),"")</f>
        <v>M</v>
      </c>
      <c r="AI175" s="9">
        <v>197</v>
      </c>
      <c r="AJ175" s="9" t="str">
        <f>IFERROR(MID(VLOOKUP($B175,Seqs!$A:$B,2,0),AK175,1),"")</f>
        <v>K</v>
      </c>
      <c r="AK175" s="9">
        <v>203</v>
      </c>
      <c r="AL175" s="9" t="str">
        <f>IFERROR(MID(VLOOKUP($B175,Seqs!$A:$B,2,0),AM175,1),"")</f>
        <v>K</v>
      </c>
      <c r="AM175" s="9">
        <v>240</v>
      </c>
      <c r="AN175" s="9" t="str">
        <f>IFERROR(MID(VLOOKUP($B175,Seqs!$A:$B,2,0),AO175,1),"")</f>
        <v>N</v>
      </c>
      <c r="AO175" s="9">
        <v>247</v>
      </c>
      <c r="AP175" s="9" t="str">
        <f>IFERROR(MID(VLOOKUP($B175,Seqs!$A:$B,2,0),AQ175,1),"")</f>
        <v>G</v>
      </c>
      <c r="AQ175" s="9">
        <v>285</v>
      </c>
      <c r="AR175" s="9" t="str">
        <f>IFERROR(MID(VLOOKUP($B175,Seqs!$A:$B,2,0),AS175,1),"")</f>
        <v>S</v>
      </c>
      <c r="AS175" s="9">
        <v>289</v>
      </c>
      <c r="AT175" s="9" t="str">
        <f>IFERROR(MID(VLOOKUP($B175,Seqs!$A:$B,2,0),AU175,1),"")</f>
        <v>V</v>
      </c>
      <c r="AU175" s="9">
        <v>321</v>
      </c>
      <c r="AV175" s="9" t="str">
        <f>IFERROR(MID(VLOOKUP($B175,Seqs!$A:$B,2,0),AW175,1),"")</f>
        <v/>
      </c>
      <c r="AW175" s="9" t="s">
        <v>23</v>
      </c>
      <c r="AX175" s="9" t="str">
        <f>IFERROR(MID(VLOOKUP($B175,Seqs!$A:$B,2,0),AY175,1),"")</f>
        <v/>
      </c>
      <c r="AY175" s="9" t="s">
        <v>23</v>
      </c>
      <c r="AZ175" s="110" t="str">
        <f>VLOOKUP(B175,Classification!A:D,2,0)</f>
        <v>A</v>
      </c>
      <c r="BA175" s="98" t="str">
        <f>VLOOKUP(B175,Classification!A:D,4,0)</f>
        <v>Angiotensin</v>
      </c>
      <c r="BB175" s="36" t="b">
        <f t="shared" ref="BB175" si="1512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109">
        <f t="shared" ref="BC175" si="1513">_xlfn.AGGREGATE(9,6,CH175:CS175)-_xlfn.AGGREGATE(9,6,BV175:CG175)+12</f>
        <v>240</v>
      </c>
      <c r="BD175" s="40" t="s">
        <v>23</v>
      </c>
      <c r="BE175" s="9" t="s">
        <v>1287</v>
      </c>
      <c r="BF175" s="119">
        <v>3.4</v>
      </c>
      <c r="BG175" s="51" t="s">
        <v>1</v>
      </c>
      <c r="BH175" s="51" t="s">
        <v>1</v>
      </c>
      <c r="BJ175" s="111" t="s">
        <v>1283</v>
      </c>
      <c r="BK175" s="112" t="s">
        <v>1283</v>
      </c>
      <c r="BL175" s="112" t="s">
        <v>1283</v>
      </c>
      <c r="BM175" s="112" t="s">
        <v>1283</v>
      </c>
      <c r="BN175" s="112" t="s">
        <v>1283</v>
      </c>
      <c r="BO175" s="112" t="s">
        <v>1283</v>
      </c>
      <c r="BP175" s="112" t="s">
        <v>1283</v>
      </c>
      <c r="BQ175" s="112" t="s">
        <v>1283</v>
      </c>
      <c r="BR175" s="112" t="s">
        <v>1283</v>
      </c>
      <c r="BS175" s="112" t="s">
        <v>1283</v>
      </c>
      <c r="BT175" s="112" t="s">
        <v>1283</v>
      </c>
      <c r="BU175" s="112" t="s">
        <v>1283</v>
      </c>
      <c r="BV175" s="111">
        <f t="shared" ref="BV175" si="1514">E175</f>
        <v>46</v>
      </c>
      <c r="BW175" s="113" t="str">
        <f t="shared" ref="BW175" si="1515">I175</f>
        <v>-</v>
      </c>
      <c r="BX175" s="114">
        <f t="shared" ref="BX175" si="1516">M175</f>
        <v>77</v>
      </c>
      <c r="BY175" s="113">
        <f t="shared" ref="BY175" si="1517">Q175</f>
        <v>107</v>
      </c>
      <c r="BZ175" s="114">
        <f t="shared" ref="BZ175" si="1518">U175</f>
        <v>113</v>
      </c>
      <c r="CA175" s="113" t="str">
        <f t="shared" ref="CA175" si="1519">Y175</f>
        <v>-</v>
      </c>
      <c r="CB175" s="114">
        <f t="shared" ref="CB175" si="1520">AC175</f>
        <v>159</v>
      </c>
      <c r="CC175" s="113">
        <f t="shared" ref="CC175" si="1521">AG175</f>
        <v>195</v>
      </c>
      <c r="CD175" s="114">
        <f t="shared" ref="CD175" si="1522">AK175</f>
        <v>203</v>
      </c>
      <c r="CE175" s="113">
        <f t="shared" ref="CE175" si="1523">AO175</f>
        <v>247</v>
      </c>
      <c r="CF175" s="114">
        <f t="shared" ref="CF175" si="1524">AS175</f>
        <v>289</v>
      </c>
      <c r="CG175" s="113" t="str">
        <f t="shared" ref="CG175" si="1525">AW175</f>
        <v>-</v>
      </c>
      <c r="CH175" s="111">
        <f t="shared" ref="CH175" si="1526">G175</f>
        <v>73</v>
      </c>
      <c r="CI175" s="113" t="str">
        <f t="shared" ref="CI175" si="1527">K175</f>
        <v>-</v>
      </c>
      <c r="CJ175" s="114">
        <f t="shared" ref="CJ175" si="1528">O175</f>
        <v>106</v>
      </c>
      <c r="CK175" s="114">
        <f t="shared" ref="CK175" si="1529">S175</f>
        <v>112</v>
      </c>
      <c r="CL175" s="114">
        <f t="shared" ref="CL175" si="1530">W175</f>
        <v>148</v>
      </c>
      <c r="CM175" s="114" t="str">
        <f t="shared" ref="CM175" si="1531">AA175</f>
        <v>-</v>
      </c>
      <c r="CN175" s="114">
        <f t="shared" ref="CN175" si="1532">AE175</f>
        <v>182</v>
      </c>
      <c r="CO175" s="114">
        <f t="shared" ref="CO175" si="1533">AI175</f>
        <v>197</v>
      </c>
      <c r="CP175" s="114">
        <f t="shared" ref="CP175" si="1534">AM175</f>
        <v>240</v>
      </c>
      <c r="CQ175" s="114">
        <f t="shared" ref="CQ175" si="1535">AQ175</f>
        <v>285</v>
      </c>
      <c r="CR175" s="114">
        <f t="shared" ref="CR175" si="1536">AU175</f>
        <v>321</v>
      </c>
      <c r="CS175" s="114" t="str">
        <f t="shared" ref="CS175" si="1537">AY175</f>
        <v>-</v>
      </c>
      <c r="CT175" s="109" t="e">
        <f t="shared" ref="CT175" si="1538">M175-K175</f>
        <v>#VALUE!</v>
      </c>
    </row>
    <row r="176" spans="1:1029" x14ac:dyDescent="0.2">
      <c r="A176" s="3" t="str">
        <f t="shared" si="1427"/>
        <v>apj_human__wt</v>
      </c>
      <c r="B176" s="3" t="s">
        <v>160</v>
      </c>
      <c r="C176" s="3" t="s">
        <v>100</v>
      </c>
      <c r="D176" s="3" t="str">
        <f>IFERROR(MID(VLOOKUP($B176,Seqs!$A:$B,2,0),E176,1),"")</f>
        <v>A</v>
      </c>
      <c r="E176" s="3">
        <v>29</v>
      </c>
      <c r="F176" s="3" t="str">
        <f>IFERROR(MID(VLOOKUP($B176,Seqs!$A:$B,2,0),G176,1),"")</f>
        <v>S</v>
      </c>
      <c r="G176" s="3">
        <v>56</v>
      </c>
      <c r="H176" s="3" t="str">
        <f>IFERROR(MID(VLOOKUP($B176,Seqs!$A:$B,2,0),I176,1),"")</f>
        <v>S</v>
      </c>
      <c r="I176" s="23">
        <v>57</v>
      </c>
      <c r="J176" s="3" t="str">
        <f>IFERROR(MID(VLOOKUP($B176,Seqs!$A:$B,2,0),K176,1),"")</f>
        <v>R</v>
      </c>
      <c r="K176" s="23">
        <v>61</v>
      </c>
      <c r="L176" s="3" t="str">
        <f>IFERROR(MID(VLOOKUP($B176,Seqs!$A:$B,2,0),M176,1),"")</f>
        <v>R</v>
      </c>
      <c r="M176" s="3">
        <v>62</v>
      </c>
      <c r="N176" s="3" t="str">
        <f>IFERROR(MID(VLOOKUP($B176,Seqs!$A:$B,2,0),O176,1),"")</f>
        <v>D</v>
      </c>
      <c r="O176" s="3">
        <v>92</v>
      </c>
      <c r="P176" s="3" t="str">
        <f>IFERROR(MID(VLOOKUP($B176,Seqs!$A:$B,2,0),Q176,1),"")</f>
        <v>D</v>
      </c>
      <c r="Q176" s="3">
        <v>94</v>
      </c>
      <c r="R176" s="3" t="str">
        <f>IFERROR(MID(VLOOKUP($B176,Seqs!$A:$B,2,0),S176,1),"")</f>
        <v>F</v>
      </c>
      <c r="S176" s="3">
        <v>97</v>
      </c>
      <c r="T176" s="3" t="str">
        <f>IFERROR(MID(VLOOKUP($B176,Seqs!$A:$B,2,0),U176,1),"")</f>
        <v>G</v>
      </c>
      <c r="U176" s="3">
        <v>98</v>
      </c>
      <c r="V176" s="3" t="str">
        <f>IFERROR(MID(VLOOKUP($B176,Seqs!$A:$B,2,0),W176,1),"")</f>
        <v>R</v>
      </c>
      <c r="W176" s="3">
        <v>133</v>
      </c>
      <c r="X176" s="3" t="str">
        <f>IFERROR(MID(VLOOKUP($B176,Seqs!$A:$B,2,0),Y176,1),"")</f>
        <v>P</v>
      </c>
      <c r="Y176" s="3">
        <v>134</v>
      </c>
      <c r="Z176" s="3" t="str">
        <f>IFERROR(MID(VLOOKUP($B176,Seqs!$A:$B,2,0),AA176,1),"")</f>
        <v>R</v>
      </c>
      <c r="AA176" s="3">
        <v>141</v>
      </c>
      <c r="AB176" s="3" t="str">
        <f>IFERROR(MID(VLOOKUP($B176,Seqs!$A:$B,2,0),AC176,1),"")</f>
        <v>L</v>
      </c>
      <c r="AC176" s="3">
        <v>142</v>
      </c>
      <c r="AD176" s="3" t="str">
        <f>IFERROR(MID(VLOOKUP($B176,Seqs!$A:$B,2,0),AE176,1),"")</f>
        <v>R</v>
      </c>
      <c r="AE176" s="3">
        <v>168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M</v>
      </c>
      <c r="AI176" s="3">
        <v>183</v>
      </c>
      <c r="AJ176" s="3" t="str">
        <f>IFERROR(MID(VLOOKUP($B176,Seqs!$A:$B,2,0),AK176,1),"")</f>
        <v>S</v>
      </c>
      <c r="AK176" s="3">
        <v>193</v>
      </c>
      <c r="AL176" s="3" t="str">
        <f>IFERROR(MID(VLOOKUP($B176,Seqs!$A:$B,2,0),AM176,1),"")</f>
        <v>E</v>
      </c>
      <c r="AM176" s="3">
        <v>235</v>
      </c>
      <c r="AN176" s="3" t="str">
        <f>IFERROR(MID(VLOOKUP($B176,Seqs!$A:$B,2,0),AO176,1),"")</f>
        <v>K</v>
      </c>
      <c r="AO176" s="3">
        <v>242</v>
      </c>
      <c r="AP176" s="3" t="str">
        <f>IFERROR(MID(VLOOKUP($B176,Seqs!$A:$B,2,0),AQ176,1),"")</f>
        <v>L</v>
      </c>
      <c r="AQ176" s="3">
        <v>276</v>
      </c>
      <c r="AR176" s="3" t="str">
        <f>IFERROR(MID(VLOOKUP($B176,Seqs!$A:$B,2,0),AS176,1),"")</f>
        <v>P</v>
      </c>
      <c r="AS176" s="3">
        <v>280</v>
      </c>
      <c r="AT176" s="3" t="str">
        <f>IFERROR(MID(VLOOKUP($B176,Seqs!$A:$B,2,0),AU176,1),"")</f>
        <v>F</v>
      </c>
      <c r="AU176" s="3">
        <v>312</v>
      </c>
      <c r="AV176" s="3" t="str">
        <f>IFERROR(MID(VLOOKUP($B176,Seqs!$A:$B,2,0),AW176,1),"")</f>
        <v>D</v>
      </c>
      <c r="AW176" s="3">
        <v>313</v>
      </c>
      <c r="AX176" s="3" t="str">
        <f>IFERROR(MID(VLOOKUP($B176,Seqs!$A:$B,2,0),AY176,1),"")</f>
        <v>G</v>
      </c>
      <c r="AY176" s="3">
        <v>327</v>
      </c>
      <c r="AZ176" s="77" t="str">
        <f>VLOOKUP(B176,Classification!A:D,2,0)</f>
        <v>A</v>
      </c>
      <c r="BA176" s="94" t="str">
        <f>VLOOKUP(B176,Classification!A:D,4,0)</f>
        <v>Apelin</v>
      </c>
      <c r="BB176" s="27" t="b">
        <f t="shared" si="1428"/>
        <v>1</v>
      </c>
      <c r="BC176" s="23">
        <f t="shared" si="1429"/>
        <v>268</v>
      </c>
      <c r="BD176" s="2"/>
      <c r="BE176" s="3" t="s">
        <v>23</v>
      </c>
      <c r="BF176" s="118" t="s">
        <v>23</v>
      </c>
      <c r="BG176" s="49" t="s">
        <v>1277</v>
      </c>
      <c r="BH176" s="49" t="s">
        <v>1277</v>
      </c>
      <c r="BI176" s="1"/>
      <c r="BJ176" s="70" t="s">
        <v>1283</v>
      </c>
      <c r="BK176" s="57" t="s">
        <v>1283</v>
      </c>
      <c r="BL176" s="57" t="s">
        <v>1283</v>
      </c>
      <c r="BM176" s="57" t="s">
        <v>1283</v>
      </c>
      <c r="BN176" s="57" t="s">
        <v>1283</v>
      </c>
      <c r="BO176" s="57" t="s">
        <v>1283</v>
      </c>
      <c r="BP176" s="57" t="s">
        <v>1283</v>
      </c>
      <c r="BQ176" s="57" t="s">
        <v>1283</v>
      </c>
      <c r="BR176" s="57" t="s">
        <v>1283</v>
      </c>
      <c r="BS176" s="57" t="s">
        <v>1283</v>
      </c>
      <c r="BT176" s="57" t="s">
        <v>1283</v>
      </c>
      <c r="BU176" s="57" t="s">
        <v>1283</v>
      </c>
      <c r="BV176" s="70">
        <f t="shared" si="1430"/>
        <v>29</v>
      </c>
      <c r="BW176" s="71">
        <f t="shared" si="1431"/>
        <v>57</v>
      </c>
      <c r="BX176" s="72">
        <f t="shared" si="1432"/>
        <v>62</v>
      </c>
      <c r="BY176" s="71">
        <f t="shared" si="1433"/>
        <v>94</v>
      </c>
      <c r="BZ176" s="72">
        <f t="shared" si="1434"/>
        <v>98</v>
      </c>
      <c r="CA176" s="71">
        <f t="shared" si="1435"/>
        <v>134</v>
      </c>
      <c r="CB176" s="72">
        <f t="shared" si="1436"/>
        <v>142</v>
      </c>
      <c r="CC176" s="71">
        <f t="shared" si="1437"/>
        <v>181</v>
      </c>
      <c r="CD176" s="72">
        <f t="shared" si="1438"/>
        <v>193</v>
      </c>
      <c r="CE176" s="71">
        <f t="shared" si="1439"/>
        <v>242</v>
      </c>
      <c r="CF176" s="72">
        <f t="shared" si="1440"/>
        <v>280</v>
      </c>
      <c r="CG176" s="71">
        <f t="shared" si="1441"/>
        <v>313</v>
      </c>
      <c r="CH176" s="70">
        <f t="shared" si="1442"/>
        <v>56</v>
      </c>
      <c r="CI176" s="71">
        <f t="shared" si="1443"/>
        <v>61</v>
      </c>
      <c r="CJ176" s="72">
        <f t="shared" si="1444"/>
        <v>92</v>
      </c>
      <c r="CK176" s="72">
        <f t="shared" si="1445"/>
        <v>97</v>
      </c>
      <c r="CL176" s="72">
        <f t="shared" si="1446"/>
        <v>133</v>
      </c>
      <c r="CM176" s="72">
        <f t="shared" si="1447"/>
        <v>141</v>
      </c>
      <c r="CN176" s="72">
        <f t="shared" si="1448"/>
        <v>168</v>
      </c>
      <c r="CO176" s="72">
        <f t="shared" si="1449"/>
        <v>183</v>
      </c>
      <c r="CP176" s="72">
        <f t="shared" si="1450"/>
        <v>235</v>
      </c>
      <c r="CQ176" s="72">
        <f t="shared" si="1451"/>
        <v>276</v>
      </c>
      <c r="CR176" s="72">
        <f t="shared" si="1452"/>
        <v>312</v>
      </c>
      <c r="CS176" s="72">
        <f t="shared" si="1453"/>
        <v>327</v>
      </c>
      <c r="CT176" s="23">
        <f t="shared" si="145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427"/>
        <v>apj_human_5VBL</v>
      </c>
      <c r="B177" s="3" t="s">
        <v>160</v>
      </c>
      <c r="C177" s="3" t="s">
        <v>1410</v>
      </c>
      <c r="D177" s="3" t="str">
        <f>IFERROR(MID(VLOOKUP($B177,Seqs!$A:$B,2,0),E177,1),"")</f>
        <v>A</v>
      </c>
      <c r="E177" s="3">
        <v>29</v>
      </c>
      <c r="F177" s="3" t="str">
        <f>IFERROR(MID(VLOOKUP($B177,Seqs!$A:$B,2,0),G177,1),"")</f>
        <v>S</v>
      </c>
      <c r="G177" s="3">
        <v>56</v>
      </c>
      <c r="H177" s="3" t="str">
        <f>IFERROR(MID(VLOOKUP($B177,Seqs!$A:$B,2,0),I177,1),"")</f>
        <v>S</v>
      </c>
      <c r="I177" s="23">
        <v>57</v>
      </c>
      <c r="J177" s="3" t="str">
        <f>IFERROR(MID(VLOOKUP($B177,Seqs!$A:$B,2,0),K177,1),"")</f>
        <v>R</v>
      </c>
      <c r="K177" s="23">
        <v>61</v>
      </c>
      <c r="L177" s="3" t="str">
        <f>IFERROR(MID(VLOOKUP($B177,Seqs!$A:$B,2,0),M177,1),"")</f>
        <v>R</v>
      </c>
      <c r="M177" s="3">
        <v>62</v>
      </c>
      <c r="N177" s="3" t="str">
        <f>IFERROR(MID(VLOOKUP($B177,Seqs!$A:$B,2,0),O177,1),"")</f>
        <v>D</v>
      </c>
      <c r="O177" s="3">
        <v>92</v>
      </c>
      <c r="P177" s="3" t="str">
        <f>IFERROR(MID(VLOOKUP($B177,Seqs!$A:$B,2,0),Q177,1),"")</f>
        <v>D</v>
      </c>
      <c r="Q177" s="3">
        <v>94</v>
      </c>
      <c r="R177" s="3" t="str">
        <f>IFERROR(MID(VLOOKUP($B177,Seqs!$A:$B,2,0),S177,1),"")</f>
        <v>F</v>
      </c>
      <c r="S177" s="3">
        <v>97</v>
      </c>
      <c r="T177" s="3" t="str">
        <f>IFERROR(MID(VLOOKUP($B177,Seqs!$A:$B,2,0),U177,1),"")</f>
        <v>G</v>
      </c>
      <c r="U177" s="3">
        <v>98</v>
      </c>
      <c r="V177" s="3" t="str">
        <f>IFERROR(MID(VLOOKUP($B177,Seqs!$A:$B,2,0),W177,1),"")</f>
        <v>R</v>
      </c>
      <c r="W177" s="3">
        <v>133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R</v>
      </c>
      <c r="AC177" s="3">
        <v>141</v>
      </c>
      <c r="AD177" s="3" t="str">
        <f>IFERROR(MID(VLOOKUP($B177,Seqs!$A:$B,2,0),AE177,1),"")</f>
        <v>R</v>
      </c>
      <c r="AE177" s="3">
        <v>168</v>
      </c>
      <c r="AF177" s="3" t="str">
        <f>IFERROR(MID(VLOOKUP($B177,Seqs!$A:$B,2,0),AG177,1),"")</f>
        <v>C</v>
      </c>
      <c r="AG177" s="3">
        <v>181</v>
      </c>
      <c r="AH177" s="3" t="str">
        <f>IFERROR(MID(VLOOKUP($B177,Seqs!$A:$B,2,0),AI177,1),"")</f>
        <v>M</v>
      </c>
      <c r="AI177" s="3">
        <v>183</v>
      </c>
      <c r="AJ177" s="3" t="str">
        <f>IFERROR(MID(VLOOKUP($B177,Seqs!$A:$B,2,0),AK177,1),"")</f>
        <v>S</v>
      </c>
      <c r="AK177" s="3">
        <v>193</v>
      </c>
      <c r="AL177" s="3" t="str">
        <f>IFERROR(MID(VLOOKUP($B177,Seqs!$A:$B,2,0),AM177,1),"")</f>
        <v>A</v>
      </c>
      <c r="AM177" s="3">
        <v>229</v>
      </c>
      <c r="AN177" s="3" t="str">
        <f>IFERROR(MID(VLOOKUP($B177,Seqs!$A:$B,2,0),AO177,1),"")</f>
        <v>R</v>
      </c>
      <c r="AO177" s="3">
        <v>244</v>
      </c>
      <c r="AP177" s="3" t="str">
        <f>IFERROR(MID(VLOOKUP($B177,Seqs!$A:$B,2,0),AQ177,1),"")</f>
        <v>L</v>
      </c>
      <c r="AQ177" s="3">
        <v>276</v>
      </c>
      <c r="AR177" s="3" t="str">
        <f>IFERROR(MID(VLOOKUP($B177,Seqs!$A:$B,2,0),AS177,1),"")</f>
        <v>P</v>
      </c>
      <c r="AS177" s="3">
        <v>280</v>
      </c>
      <c r="AT177" s="3" t="str">
        <f>IFERROR(MID(VLOOKUP($B177,Seqs!$A:$B,2,0),AU177,1),"")</f>
        <v>F</v>
      </c>
      <c r="AU177" s="3">
        <v>312</v>
      </c>
      <c r="AV177" s="3" t="str">
        <f>IFERROR(MID(VLOOKUP($B177,Seqs!$A:$B,2,0),AW177,1),"")</f>
        <v>D</v>
      </c>
      <c r="AW177" s="3">
        <v>313</v>
      </c>
      <c r="AX177" s="3" t="str">
        <f>IFERROR(MID(VLOOKUP($B177,Seqs!$A:$B,2,0),AY177,1),"")</f>
        <v>G</v>
      </c>
      <c r="AY177" s="3">
        <v>327</v>
      </c>
      <c r="AZ177" s="77" t="str">
        <f>VLOOKUP(B177,Classification!A:D,2,0)</f>
        <v>A</v>
      </c>
      <c r="BA177" s="94" t="str">
        <f>VLOOKUP(B177,Classification!A:D,4,0)</f>
        <v>Apelin</v>
      </c>
      <c r="BB177" s="27" t="b">
        <f t="shared" si="1428"/>
        <v>1</v>
      </c>
      <c r="BC177" s="23">
        <f t="shared" si="1429"/>
        <v>254</v>
      </c>
      <c r="BD177" s="2" t="s">
        <v>1372</v>
      </c>
      <c r="BE177" s="3" t="s">
        <v>1370</v>
      </c>
      <c r="BF177" s="118">
        <v>2.6</v>
      </c>
      <c r="BG177" s="49" t="s">
        <v>1277</v>
      </c>
      <c r="BH177" s="49" t="s">
        <v>1277</v>
      </c>
      <c r="BI177" s="1"/>
      <c r="BJ177" s="70" t="s">
        <v>1283</v>
      </c>
      <c r="BK177" s="57" t="s">
        <v>1283</v>
      </c>
      <c r="BL177" s="57" t="s">
        <v>1283</v>
      </c>
      <c r="BM177" s="57" t="s">
        <v>1283</v>
      </c>
      <c r="BN177" s="57" t="s">
        <v>1283</v>
      </c>
      <c r="BO177" s="57" t="s">
        <v>1283</v>
      </c>
      <c r="BP177" s="57" t="s">
        <v>1283</v>
      </c>
      <c r="BQ177" s="57" t="s">
        <v>1283</v>
      </c>
      <c r="BR177" s="57" t="s">
        <v>1283</v>
      </c>
      <c r="BS177" s="57" t="s">
        <v>1283</v>
      </c>
      <c r="BT177" s="57" t="s">
        <v>1283</v>
      </c>
      <c r="BU177" s="57" t="s">
        <v>1283</v>
      </c>
      <c r="BV177" s="70">
        <f t="shared" si="1430"/>
        <v>29</v>
      </c>
      <c r="BW177" s="71">
        <f t="shared" si="1431"/>
        <v>57</v>
      </c>
      <c r="BX177" s="72">
        <f t="shared" si="1432"/>
        <v>62</v>
      </c>
      <c r="BY177" s="71">
        <f t="shared" si="1433"/>
        <v>94</v>
      </c>
      <c r="BZ177" s="72">
        <f t="shared" si="1434"/>
        <v>98</v>
      </c>
      <c r="CA177" s="71" t="str">
        <f t="shared" si="1435"/>
        <v>-</v>
      </c>
      <c r="CB177" s="72">
        <f t="shared" si="1436"/>
        <v>141</v>
      </c>
      <c r="CC177" s="71">
        <f t="shared" si="1437"/>
        <v>181</v>
      </c>
      <c r="CD177" s="72">
        <f t="shared" si="1438"/>
        <v>193</v>
      </c>
      <c r="CE177" s="71">
        <f t="shared" si="1439"/>
        <v>244</v>
      </c>
      <c r="CF177" s="72">
        <f t="shared" si="1440"/>
        <v>280</v>
      </c>
      <c r="CG177" s="71">
        <f t="shared" si="1441"/>
        <v>313</v>
      </c>
      <c r="CH177" s="70">
        <f t="shared" si="1442"/>
        <v>56</v>
      </c>
      <c r="CI177" s="71">
        <f t="shared" si="1443"/>
        <v>61</v>
      </c>
      <c r="CJ177" s="72">
        <f t="shared" si="1444"/>
        <v>92</v>
      </c>
      <c r="CK177" s="72">
        <f t="shared" si="1445"/>
        <v>97</v>
      </c>
      <c r="CL177" s="72">
        <f t="shared" si="1446"/>
        <v>133</v>
      </c>
      <c r="CM177" s="72" t="str">
        <f t="shared" si="1447"/>
        <v>-</v>
      </c>
      <c r="CN177" s="72">
        <f t="shared" si="1448"/>
        <v>168</v>
      </c>
      <c r="CO177" s="72">
        <f t="shared" si="1449"/>
        <v>183</v>
      </c>
      <c r="CP177" s="72">
        <f t="shared" si="1450"/>
        <v>229</v>
      </c>
      <c r="CQ177" s="72">
        <f t="shared" si="1451"/>
        <v>276</v>
      </c>
      <c r="CR177" s="72">
        <f t="shared" si="1452"/>
        <v>312</v>
      </c>
      <c r="CS177" s="72">
        <f t="shared" si="1453"/>
        <v>327</v>
      </c>
      <c r="CT177" s="23">
        <f t="shared" si="1454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ref="A178" si="1539">CONCATENATE(B178,"_",C178)</f>
        <v>apj_human_6KNM</v>
      </c>
      <c r="B178" s="3" t="s">
        <v>160</v>
      </c>
      <c r="C178" s="3" t="s">
        <v>1640</v>
      </c>
      <c r="D178" s="3" t="str">
        <f>IFERROR(MID(VLOOKUP($B178,Seqs!$A:$B,2,0),E178,1),"")</f>
        <v>A</v>
      </c>
      <c r="E178" s="3">
        <v>29</v>
      </c>
      <c r="F178" s="3" t="str">
        <f>IFERROR(MID(VLOOKUP($B178,Seqs!$A:$B,2,0),G178,1),"")</f>
        <v>R</v>
      </c>
      <c r="G178" s="3">
        <v>55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D</v>
      </c>
      <c r="M178" s="3">
        <v>65</v>
      </c>
      <c r="N178" s="3" t="str">
        <f>IFERROR(MID(VLOOKUP($B178,Seqs!$A:$B,2,0),O178,1),"")</f>
        <v>D</v>
      </c>
      <c r="O178" s="3">
        <v>92</v>
      </c>
      <c r="P178" s="3" t="str">
        <f>IFERROR(MID(VLOOKUP($B178,Seqs!$A:$B,2,0),Q178,1),"")</f>
        <v>D</v>
      </c>
      <c r="Q178" s="3">
        <v>94</v>
      </c>
      <c r="R178" s="3" t="str">
        <f>IFERROR(MID(VLOOKUP($B178,Seqs!$A:$B,2,0),S178,1),"")</f>
        <v>F</v>
      </c>
      <c r="S178" s="3">
        <v>97</v>
      </c>
      <c r="T178" s="3" t="str">
        <f>IFERROR(MID(VLOOKUP($B178,Seqs!$A:$B,2,0),U178,1),"")</f>
        <v>G</v>
      </c>
      <c r="U178" s="3">
        <v>98</v>
      </c>
      <c r="V178" s="3" t="str">
        <f>IFERROR(MID(VLOOKUP($B178,Seqs!$A:$B,2,0),W178,1),"")</f>
        <v>R</v>
      </c>
      <c r="W178" s="3">
        <v>133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R</v>
      </c>
      <c r="AC178" s="3">
        <v>141</v>
      </c>
      <c r="AD178" s="3" t="str">
        <f>IFERROR(MID(VLOOKUP($B178,Seqs!$A:$B,2,0),AE178,1),"")</f>
        <v>R</v>
      </c>
      <c r="AE178" s="3">
        <v>168</v>
      </c>
      <c r="AF178" s="3" t="str">
        <f>IFERROR(MID(VLOOKUP($B178,Seqs!$A:$B,2,0),AG178,1),"")</f>
        <v>C</v>
      </c>
      <c r="AG178" s="3">
        <v>181</v>
      </c>
      <c r="AH178" s="3" t="str">
        <f>IFERROR(MID(VLOOKUP($B178,Seqs!$A:$B,2,0),AI178,1),"")</f>
        <v>M</v>
      </c>
      <c r="AI178" s="3">
        <v>183</v>
      </c>
      <c r="AJ178" s="3" t="str">
        <f>IFERROR(MID(VLOOKUP($B178,Seqs!$A:$B,2,0),AK178,1),"")</f>
        <v>S</v>
      </c>
      <c r="AK178" s="3">
        <v>193</v>
      </c>
      <c r="AL178" s="3" t="str">
        <f>IFERROR(MID(VLOOKUP($B178,Seqs!$A:$B,2,0),AM178,1),"")</f>
        <v>I</v>
      </c>
      <c r="AM178" s="3">
        <v>228</v>
      </c>
      <c r="AN178" s="3" t="str">
        <f>IFERROR(MID(VLOOKUP($B178,Seqs!$A:$B,2,0),AO178,1),"")</f>
        <v>R</v>
      </c>
      <c r="AO178" s="3">
        <v>245</v>
      </c>
      <c r="AP178" s="3" t="str">
        <f>IFERROR(MID(VLOOKUP($B178,Seqs!$A:$B,2,0),AQ178,1),"")</f>
        <v>L</v>
      </c>
      <c r="AQ178" s="3">
        <v>276</v>
      </c>
      <c r="AR178" s="3" t="str">
        <f>IFERROR(MID(VLOOKUP($B178,Seqs!$A:$B,2,0),AS178,1),"")</f>
        <v>P</v>
      </c>
      <c r="AS178" s="3">
        <v>280</v>
      </c>
      <c r="AT178" s="3" t="str">
        <f>IFERROR(MID(VLOOKUP($B178,Seqs!$A:$B,2,0),AU178,1),"")</f>
        <v>F</v>
      </c>
      <c r="AU178" s="3">
        <v>312</v>
      </c>
      <c r="AV178" s="3" t="str">
        <f>IFERROR(MID(VLOOKUP($B178,Seqs!$A:$B,2,0),AW178,1),"")</f>
        <v>D</v>
      </c>
      <c r="AW178" s="3">
        <v>313</v>
      </c>
      <c r="AX178" s="3" t="str">
        <f>IFERROR(MID(VLOOKUP($B178,Seqs!$A:$B,2,0),AY178,1),"")</f>
        <v>C</v>
      </c>
      <c r="AY178" s="3">
        <v>326</v>
      </c>
      <c r="AZ178" s="77" t="str">
        <f>VLOOKUP(B178,Classification!A:D,2,0)</f>
        <v>A</v>
      </c>
      <c r="BA178" s="94" t="str">
        <f>VLOOKUP(B178,Classification!A:D,4,0)</f>
        <v>Apelin</v>
      </c>
      <c r="BB178" s="27" t="b">
        <f t="shared" ref="BB178" si="1540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ref="BC178" si="1541">_xlfn.AGGREGATE(9,6,CH178:CS178)-_xlfn.AGGREGATE(9,6,BV178:CG178)+12</f>
        <v>243</v>
      </c>
      <c r="BD178" s="2" t="s">
        <v>23</v>
      </c>
      <c r="BE178" s="3" t="s">
        <v>1370</v>
      </c>
      <c r="BF178" s="118">
        <v>3.2</v>
      </c>
      <c r="BG178" s="49" t="s">
        <v>1277</v>
      </c>
      <c r="BH178" s="49" t="s">
        <v>1277</v>
      </c>
      <c r="BI178" s="1"/>
      <c r="BJ178" s="70" t="s">
        <v>1283</v>
      </c>
      <c r="BK178" s="57" t="s">
        <v>1283</v>
      </c>
      <c r="BL178" s="57" t="s">
        <v>1283</v>
      </c>
      <c r="BM178" s="57" t="s">
        <v>1283</v>
      </c>
      <c r="BN178" s="57" t="s">
        <v>1283</v>
      </c>
      <c r="BO178" s="57" t="s">
        <v>1283</v>
      </c>
      <c r="BP178" s="57" t="s">
        <v>1283</v>
      </c>
      <c r="BQ178" s="57" t="s">
        <v>1283</v>
      </c>
      <c r="BR178" s="57" t="s">
        <v>1283</v>
      </c>
      <c r="BS178" s="57" t="s">
        <v>1283</v>
      </c>
      <c r="BT178" s="57" t="s">
        <v>1283</v>
      </c>
      <c r="BU178" s="57" t="s">
        <v>1283</v>
      </c>
      <c r="BV178" s="70">
        <f t="shared" ref="BV178" si="1542">E178</f>
        <v>29</v>
      </c>
      <c r="BW178" s="71" t="str">
        <f t="shared" ref="BW178" si="1543">I178</f>
        <v>-</v>
      </c>
      <c r="BX178" s="72">
        <f t="shared" ref="BX178" si="1544">M178</f>
        <v>65</v>
      </c>
      <c r="BY178" s="71">
        <f t="shared" ref="BY178" si="1545">Q178</f>
        <v>94</v>
      </c>
      <c r="BZ178" s="72">
        <f t="shared" ref="BZ178" si="1546">U178</f>
        <v>98</v>
      </c>
      <c r="CA178" s="71" t="str">
        <f t="shared" ref="CA178" si="1547">Y178</f>
        <v>-</v>
      </c>
      <c r="CB178" s="72">
        <f t="shared" ref="CB178" si="1548">AC178</f>
        <v>141</v>
      </c>
      <c r="CC178" s="71">
        <f t="shared" ref="CC178" si="1549">AG178</f>
        <v>181</v>
      </c>
      <c r="CD178" s="72">
        <f t="shared" ref="CD178" si="1550">AK178</f>
        <v>193</v>
      </c>
      <c r="CE178" s="71">
        <f t="shared" ref="CE178" si="1551">AO178</f>
        <v>245</v>
      </c>
      <c r="CF178" s="72">
        <f t="shared" ref="CF178" si="1552">AS178</f>
        <v>280</v>
      </c>
      <c r="CG178" s="71">
        <f t="shared" ref="CG178" si="1553">AW178</f>
        <v>313</v>
      </c>
      <c r="CH178" s="70">
        <f t="shared" ref="CH178" si="1554">G178</f>
        <v>55</v>
      </c>
      <c r="CI178" s="71" t="str">
        <f t="shared" ref="CI178" si="1555">K178</f>
        <v>-</v>
      </c>
      <c r="CJ178" s="72">
        <f t="shared" ref="CJ178" si="1556">O178</f>
        <v>92</v>
      </c>
      <c r="CK178" s="72">
        <f t="shared" ref="CK178" si="1557">S178</f>
        <v>97</v>
      </c>
      <c r="CL178" s="72">
        <f t="shared" ref="CL178" si="1558">W178</f>
        <v>133</v>
      </c>
      <c r="CM178" s="72" t="str">
        <f t="shared" ref="CM178" si="1559">AA178</f>
        <v>-</v>
      </c>
      <c r="CN178" s="72">
        <f t="shared" ref="CN178" si="1560">AE178</f>
        <v>168</v>
      </c>
      <c r="CO178" s="72">
        <f t="shared" ref="CO178" si="1561">AI178</f>
        <v>183</v>
      </c>
      <c r="CP178" s="72">
        <f t="shared" ref="CP178" si="1562">AM178</f>
        <v>228</v>
      </c>
      <c r="CQ178" s="72">
        <f t="shared" ref="CQ178" si="1563">AQ178</f>
        <v>276</v>
      </c>
      <c r="CR178" s="72">
        <f t="shared" ref="CR178" si="1564">AU178</f>
        <v>312</v>
      </c>
      <c r="CS178" s="72">
        <f t="shared" ref="CS178" si="1565">AY178</f>
        <v>326</v>
      </c>
      <c r="CT178" s="23" t="e">
        <f t="shared" ref="CT178" si="1566"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427"/>
        <v>c5ar1_human__wt</v>
      </c>
      <c r="B179" s="3" t="s">
        <v>165</v>
      </c>
      <c r="C179" s="3" t="s">
        <v>100</v>
      </c>
      <c r="D179" s="3" t="str">
        <f>IFERROR(MID(VLOOKUP($B179,Seqs!$A:$B,2,0),E179,1),"")</f>
        <v>R</v>
      </c>
      <c r="E179" s="3">
        <v>34</v>
      </c>
      <c r="F179" s="3" t="str">
        <f>IFERROR(MID(VLOOKUP($B179,Seqs!$A:$B,2,0),G179,1),"")</f>
        <v>E</v>
      </c>
      <c r="G179" s="3">
        <v>65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T</v>
      </c>
      <c r="M179" s="3">
        <v>69</v>
      </c>
      <c r="N179" s="3" t="str">
        <f>IFERROR(MID(VLOOKUP($B179,Seqs!$A:$B,2,0),O179,1),"")</f>
        <v>H</v>
      </c>
      <c r="O179" s="3">
        <v>99</v>
      </c>
      <c r="P179" s="3" t="str">
        <f>IFERROR(MID(VLOOKUP($B179,Seqs!$A:$B,2,0),Q179,1),"")</f>
        <v>H</v>
      </c>
      <c r="Q179" s="3">
        <v>101</v>
      </c>
      <c r="R179" s="3" t="str">
        <f>IFERROR(MID(VLOOKUP($B179,Seqs!$A:$B,2,0),S179,1),"")</f>
        <v>F</v>
      </c>
      <c r="S179" s="3">
        <v>104</v>
      </c>
      <c r="T179" s="3" t="str">
        <f>IFERROR(MID(VLOOKUP($B179,Seqs!$A:$B,2,0),U179,1),"")</f>
        <v>G</v>
      </c>
      <c r="U179" s="3">
        <v>105</v>
      </c>
      <c r="V179" s="3" t="str">
        <f>IFERROR(MID(VLOOKUP($B179,Seqs!$A:$B,2,0),W179,1),"")</f>
        <v>K</v>
      </c>
      <c r="W179" s="3">
        <v>140</v>
      </c>
      <c r="X179" s="3" t="str">
        <f>IFERROR(MID(VLOOKUP($B179,Seqs!$A:$B,2,0),Y179,1),"")</f>
        <v>P</v>
      </c>
      <c r="Y179" s="3">
        <v>141</v>
      </c>
      <c r="Z179" s="3" t="str">
        <f>IFERROR(MID(VLOOKUP($B179,Seqs!$A:$B,2,0),AA179,1),"")</f>
        <v>R</v>
      </c>
      <c r="AA179" s="3">
        <v>148</v>
      </c>
      <c r="AB179" s="3" t="str">
        <f>IFERROR(MID(VLOOKUP($B179,Seqs!$A:$B,2,0),AC179,1),"")</f>
        <v>G</v>
      </c>
      <c r="AC179" s="3">
        <v>149</v>
      </c>
      <c r="AD179" s="3" t="str">
        <f>IFERROR(MID(VLOOKUP($B179,Seqs!$A:$B,2,0),AE179,1),"")</f>
        <v>R</v>
      </c>
      <c r="AE179" s="3">
        <v>175</v>
      </c>
      <c r="AF179" s="3" t="str">
        <f>IFERROR(MID(VLOOKUP($B179,Seqs!$A:$B,2,0),AG179,1),"")</f>
        <v>C</v>
      </c>
      <c r="AG179" s="3">
        <v>188</v>
      </c>
      <c r="AH179" s="3" t="str">
        <f>IFERROR(MID(VLOOKUP($B179,Seqs!$A:$B,2,0),AI179,1),"")</f>
        <v>V</v>
      </c>
      <c r="AI179" s="3">
        <v>190</v>
      </c>
      <c r="AJ179" s="3" t="str">
        <f>IFERROR(MID(VLOOKUP($B179,Seqs!$A:$B,2,0),AK179,1),"")</f>
        <v>D</v>
      </c>
      <c r="AK179" s="3">
        <v>195</v>
      </c>
      <c r="AL179" s="3" t="str">
        <f>IFERROR(MID(VLOOKUP($B179,Seqs!$A:$B,2,0),AM179,1),"")</f>
        <v>R</v>
      </c>
      <c r="AM179" s="3">
        <v>232</v>
      </c>
      <c r="AN179" s="3" t="str">
        <f>IFERROR(MID(VLOOKUP($B179,Seqs!$A:$B,2,0),AO179,1),"")</f>
        <v>T</v>
      </c>
      <c r="AO179" s="3">
        <v>238</v>
      </c>
      <c r="AP179" s="3" t="str">
        <f>IFERROR(MID(VLOOKUP($B179,Seqs!$A:$B,2,0),AQ179,1),"")</f>
        <v>L</v>
      </c>
      <c r="AQ179" s="3">
        <v>268</v>
      </c>
      <c r="AR179" s="3" t="str">
        <f>IFERROR(MID(VLOOKUP($B179,Seqs!$A:$B,2,0),AS179,1),"")</f>
        <v>S</v>
      </c>
      <c r="AS179" s="3">
        <v>272</v>
      </c>
      <c r="AT179" s="3" t="str">
        <f>IFERROR(MID(VLOOKUP($B179,Seqs!$A:$B,2,0),AU179,1),"")</f>
        <v>A</v>
      </c>
      <c r="AU179" s="3">
        <v>303</v>
      </c>
      <c r="AV179" s="3" t="str">
        <f>IFERROR(MID(VLOOKUP($B179,Seqs!$A:$B,2,0),AW179,1),"")</f>
        <v>G</v>
      </c>
      <c r="AW179" s="3">
        <v>304</v>
      </c>
      <c r="AX179" s="3" t="str">
        <f>IFERROR(MID(VLOOKUP($B179,Seqs!$A:$B,2,0),AY179,1),"")</f>
        <v>K</v>
      </c>
      <c r="AY179" s="3">
        <v>313</v>
      </c>
      <c r="AZ179" s="77" t="str">
        <f>VLOOKUP(B179,Classification!A:D,2,0)</f>
        <v>A</v>
      </c>
      <c r="BA179" s="94" t="str">
        <f>VLOOKUP(B179,Classification!A:D,4,0)</f>
        <v>Complementpeptide</v>
      </c>
      <c r="BB179" s="27" t="b">
        <f t="shared" si="1428"/>
        <v>1</v>
      </c>
      <c r="BC179" s="23">
        <f t="shared" si="1429"/>
        <v>253</v>
      </c>
      <c r="BD179" s="2" t="s">
        <v>23</v>
      </c>
      <c r="BE179" s="3" t="s">
        <v>1370</v>
      </c>
      <c r="BF179" s="118" t="s">
        <v>23</v>
      </c>
      <c r="BI179" s="1"/>
      <c r="BJ179" s="70" t="s">
        <v>1283</v>
      </c>
      <c r="BK179" s="57" t="s">
        <v>1283</v>
      </c>
      <c r="BL179" s="57" t="s">
        <v>1283</v>
      </c>
      <c r="BM179" s="57" t="s">
        <v>1283</v>
      </c>
      <c r="BN179" s="57" t="s">
        <v>1283</v>
      </c>
      <c r="BO179" s="57" t="s">
        <v>1283</v>
      </c>
      <c r="BP179" s="57" t="s">
        <v>1283</v>
      </c>
      <c r="BQ179" s="57" t="s">
        <v>1283</v>
      </c>
      <c r="BR179" s="57" t="s">
        <v>1283</v>
      </c>
      <c r="BS179" s="57" t="s">
        <v>1283</v>
      </c>
      <c r="BT179" s="57" t="s">
        <v>1283</v>
      </c>
      <c r="BU179" s="57" t="s">
        <v>1283</v>
      </c>
      <c r="BV179" s="70">
        <f t="shared" si="1430"/>
        <v>34</v>
      </c>
      <c r="BW179" s="71" t="str">
        <f t="shared" si="1431"/>
        <v>-</v>
      </c>
      <c r="BX179" s="72">
        <f t="shared" si="1432"/>
        <v>69</v>
      </c>
      <c r="BY179" s="71">
        <f t="shared" si="1433"/>
        <v>101</v>
      </c>
      <c r="BZ179" s="72">
        <f t="shared" si="1434"/>
        <v>105</v>
      </c>
      <c r="CA179" s="71">
        <f t="shared" si="1435"/>
        <v>141</v>
      </c>
      <c r="CB179" s="72">
        <f t="shared" si="1436"/>
        <v>149</v>
      </c>
      <c r="CC179" s="71">
        <f t="shared" si="1437"/>
        <v>188</v>
      </c>
      <c r="CD179" s="72">
        <f t="shared" si="1438"/>
        <v>195</v>
      </c>
      <c r="CE179" s="71">
        <f t="shared" si="1439"/>
        <v>238</v>
      </c>
      <c r="CF179" s="72">
        <f t="shared" si="1440"/>
        <v>272</v>
      </c>
      <c r="CG179" s="71">
        <f t="shared" si="1441"/>
        <v>304</v>
      </c>
      <c r="CH179" s="70">
        <f t="shared" si="1442"/>
        <v>65</v>
      </c>
      <c r="CI179" s="71" t="str">
        <f t="shared" si="1443"/>
        <v>-</v>
      </c>
      <c r="CJ179" s="72">
        <f t="shared" si="1444"/>
        <v>99</v>
      </c>
      <c r="CK179" s="72">
        <f t="shared" si="1445"/>
        <v>104</v>
      </c>
      <c r="CL179" s="72">
        <f t="shared" si="1446"/>
        <v>140</v>
      </c>
      <c r="CM179" s="72">
        <f t="shared" si="1447"/>
        <v>148</v>
      </c>
      <c r="CN179" s="72">
        <f t="shared" si="1448"/>
        <v>175</v>
      </c>
      <c r="CO179" s="72">
        <f t="shared" si="1449"/>
        <v>190</v>
      </c>
      <c r="CP179" s="72">
        <f t="shared" si="1450"/>
        <v>232</v>
      </c>
      <c r="CQ179" s="72">
        <f t="shared" si="1451"/>
        <v>268</v>
      </c>
      <c r="CR179" s="72">
        <f t="shared" si="1452"/>
        <v>303</v>
      </c>
      <c r="CS179" s="72">
        <f t="shared" si="1453"/>
        <v>313</v>
      </c>
      <c r="CT179" s="23" t="e">
        <f t="shared" si="1454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1427"/>
        <v>c5ar1_human_5O9H</v>
      </c>
      <c r="B180" s="3" t="s">
        <v>165</v>
      </c>
      <c r="C180" s="3" t="s">
        <v>1475</v>
      </c>
      <c r="D180" s="3" t="str">
        <f>IFERROR(MID(VLOOKUP($B180,Seqs!$A:$B,2,0),E180,1),"")</f>
        <v>R</v>
      </c>
      <c r="E180" s="3">
        <v>34</v>
      </c>
      <c r="F180" s="3" t="str">
        <f>IFERROR(MID(VLOOKUP($B180,Seqs!$A:$B,2,0),G180,1),"")</f>
        <v>E</v>
      </c>
      <c r="G180" s="3">
        <v>65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69</v>
      </c>
      <c r="N180" s="3" t="str">
        <f>IFERROR(MID(VLOOKUP($B180,Seqs!$A:$B,2,0),O180,1),"")</f>
        <v>H</v>
      </c>
      <c r="O180" s="3">
        <v>99</v>
      </c>
      <c r="P180" s="3" t="str">
        <f>IFERROR(MID(VLOOKUP($B180,Seqs!$A:$B,2,0),Q180,1),"")</f>
        <v>H</v>
      </c>
      <c r="Q180" s="3">
        <v>101</v>
      </c>
      <c r="R180" s="3" t="str">
        <f>IFERROR(MID(VLOOKUP($B180,Seqs!$A:$B,2,0),S180,1),"")</f>
        <v>F</v>
      </c>
      <c r="S180" s="3">
        <v>104</v>
      </c>
      <c r="T180" s="3" t="str">
        <f>IFERROR(MID(VLOOKUP($B180,Seqs!$A:$B,2,0),U180,1),"")</f>
        <v>G</v>
      </c>
      <c r="U180" s="3">
        <v>105</v>
      </c>
      <c r="V180" s="3" t="str">
        <f>IFERROR(MID(VLOOKUP($B180,Seqs!$A:$B,2,0),W180,1),"")</f>
        <v>K</v>
      </c>
      <c r="W180" s="3">
        <v>140</v>
      </c>
      <c r="X180" s="3" t="str">
        <f>IFERROR(MID(VLOOKUP($B180,Seqs!$A:$B,2,0),Y180,1),"")</f>
        <v>P</v>
      </c>
      <c r="Y180" s="3">
        <v>141</v>
      </c>
      <c r="Z180" s="3" t="str">
        <f>IFERROR(MID(VLOOKUP($B180,Seqs!$A:$B,2,0),AA180,1),"")</f>
        <v>R</v>
      </c>
      <c r="AA180" s="3">
        <v>148</v>
      </c>
      <c r="AB180" s="3" t="str">
        <f>IFERROR(MID(VLOOKUP($B180,Seqs!$A:$B,2,0),AC180,1),"")</f>
        <v>G</v>
      </c>
      <c r="AC180" s="3">
        <v>149</v>
      </c>
      <c r="AD180" s="3" t="str">
        <f>IFERROR(MID(VLOOKUP($B180,Seqs!$A:$B,2,0),AE180,1),"")</f>
        <v>R</v>
      </c>
      <c r="AE180" s="3">
        <v>175</v>
      </c>
      <c r="AF180" s="3" t="str">
        <f>IFERROR(MID(VLOOKUP($B180,Seqs!$A:$B,2,0),AG180,1),"")</f>
        <v>C</v>
      </c>
      <c r="AG180" s="3">
        <v>188</v>
      </c>
      <c r="AH180" s="3" t="str">
        <f>IFERROR(MID(VLOOKUP($B180,Seqs!$A:$B,2,0),AI180,1),"")</f>
        <v>V</v>
      </c>
      <c r="AI180" s="3">
        <v>190</v>
      </c>
      <c r="AJ180" s="3" t="str">
        <f>IFERROR(MID(VLOOKUP($B180,Seqs!$A:$B,2,0),AK180,1),"")</f>
        <v>D</v>
      </c>
      <c r="AK180" s="3">
        <v>195</v>
      </c>
      <c r="AL180" s="3" t="str">
        <f>IFERROR(MID(VLOOKUP($B180,Seqs!$A:$B,2,0),AM180,1),"")</f>
        <v>R</v>
      </c>
      <c r="AM180" s="3">
        <v>232</v>
      </c>
      <c r="AN180" s="3" t="str">
        <f>IFERROR(MID(VLOOKUP($B180,Seqs!$A:$B,2,0),AO180,1),"")</f>
        <v>T</v>
      </c>
      <c r="AO180" s="3">
        <v>238</v>
      </c>
      <c r="AP180" s="3" t="str">
        <f>IFERROR(MID(VLOOKUP($B180,Seqs!$A:$B,2,0),AQ180,1),"")</f>
        <v>L</v>
      </c>
      <c r="AQ180" s="3">
        <v>268</v>
      </c>
      <c r="AR180" s="3" t="str">
        <f>IFERROR(MID(VLOOKUP($B180,Seqs!$A:$B,2,0),AS180,1),"")</f>
        <v>S</v>
      </c>
      <c r="AS180" s="3">
        <v>272</v>
      </c>
      <c r="AT180" s="3" t="str">
        <f>IFERROR(MID(VLOOKUP($B180,Seqs!$A:$B,2,0),AU180,1),"")</f>
        <v>F</v>
      </c>
      <c r="AU180" s="3">
        <v>307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7" t="str">
        <f>VLOOKUP(B180,Classification!A:D,2,0)</f>
        <v>A</v>
      </c>
      <c r="BA180" s="94" t="str">
        <f>VLOOKUP(B180,Classification!A:D,4,0)</f>
        <v>Complementpeptide</v>
      </c>
      <c r="BB180" s="27" t="b">
        <f t="shared" si="1428"/>
        <v>1</v>
      </c>
      <c r="BC180" s="23">
        <f t="shared" si="1429"/>
        <v>248</v>
      </c>
      <c r="BD180" s="2" t="s">
        <v>1372</v>
      </c>
      <c r="BE180" s="3" t="s">
        <v>1370</v>
      </c>
      <c r="BF180" s="118">
        <v>2.7</v>
      </c>
      <c r="BG180" s="49" t="s">
        <v>1</v>
      </c>
      <c r="BH180" s="49" t="s">
        <v>1</v>
      </c>
      <c r="BI180" s="1"/>
      <c r="BJ180" s="70" t="s">
        <v>1283</v>
      </c>
      <c r="BK180" s="57" t="s">
        <v>1283</v>
      </c>
      <c r="BL180" s="57" t="s">
        <v>1283</v>
      </c>
      <c r="BM180" s="57" t="s">
        <v>1283</v>
      </c>
      <c r="BN180" s="57" t="s">
        <v>1283</v>
      </c>
      <c r="BO180" s="57" t="s">
        <v>1283</v>
      </c>
      <c r="BP180" s="57" t="s">
        <v>1283</v>
      </c>
      <c r="BQ180" s="57" t="s">
        <v>1283</v>
      </c>
      <c r="BR180" s="57" t="s">
        <v>1283</v>
      </c>
      <c r="BS180" s="57" t="s">
        <v>1283</v>
      </c>
      <c r="BT180" s="57" t="s">
        <v>1283</v>
      </c>
      <c r="BU180" s="57" t="s">
        <v>1283</v>
      </c>
      <c r="BV180" s="70">
        <f t="shared" si="1430"/>
        <v>34</v>
      </c>
      <c r="BW180" s="71" t="str">
        <f t="shared" si="1431"/>
        <v>-</v>
      </c>
      <c r="BX180" s="72">
        <f t="shared" si="1432"/>
        <v>69</v>
      </c>
      <c r="BY180" s="71">
        <f t="shared" si="1433"/>
        <v>101</v>
      </c>
      <c r="BZ180" s="72">
        <f t="shared" si="1434"/>
        <v>105</v>
      </c>
      <c r="CA180" s="71">
        <f t="shared" si="1435"/>
        <v>141</v>
      </c>
      <c r="CB180" s="72">
        <f t="shared" si="1436"/>
        <v>149</v>
      </c>
      <c r="CC180" s="71">
        <f t="shared" si="1437"/>
        <v>188</v>
      </c>
      <c r="CD180" s="72">
        <f t="shared" si="1438"/>
        <v>195</v>
      </c>
      <c r="CE180" s="71">
        <f t="shared" si="1439"/>
        <v>238</v>
      </c>
      <c r="CF180" s="72">
        <f t="shared" si="1440"/>
        <v>272</v>
      </c>
      <c r="CG180" s="71" t="str">
        <f t="shared" si="1441"/>
        <v>-</v>
      </c>
      <c r="CH180" s="70">
        <f t="shared" si="1442"/>
        <v>65</v>
      </c>
      <c r="CI180" s="71" t="str">
        <f t="shared" si="1443"/>
        <v>-</v>
      </c>
      <c r="CJ180" s="72">
        <f t="shared" si="1444"/>
        <v>99</v>
      </c>
      <c r="CK180" s="72">
        <f t="shared" si="1445"/>
        <v>104</v>
      </c>
      <c r="CL180" s="72">
        <f t="shared" si="1446"/>
        <v>140</v>
      </c>
      <c r="CM180" s="72">
        <f t="shared" si="1447"/>
        <v>148</v>
      </c>
      <c r="CN180" s="72">
        <f t="shared" si="1448"/>
        <v>175</v>
      </c>
      <c r="CO180" s="72">
        <f t="shared" si="1449"/>
        <v>190</v>
      </c>
      <c r="CP180" s="72">
        <f t="shared" si="1450"/>
        <v>232</v>
      </c>
      <c r="CQ180" s="72">
        <f t="shared" si="1451"/>
        <v>268</v>
      </c>
      <c r="CR180" s="72">
        <f t="shared" si="1452"/>
        <v>307</v>
      </c>
      <c r="CS180" s="72" t="str">
        <f t="shared" si="1453"/>
        <v>-</v>
      </c>
      <c r="CT180" s="23" t="e">
        <f t="shared" si="1454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1427"/>
        <v>c5ar1_human_6C1Q</v>
      </c>
      <c r="B181" s="3" t="s">
        <v>165</v>
      </c>
      <c r="C181" s="3" t="s">
        <v>1494</v>
      </c>
      <c r="D181" s="3" t="str">
        <f>IFERROR(MID(VLOOKUP($B181,Seqs!$A:$B,2,0),E181,1),"")</f>
        <v>M</v>
      </c>
      <c r="E181" s="3">
        <v>120</v>
      </c>
      <c r="F181" s="3" t="str">
        <f>IFERROR(MID(VLOOKUP($B181,Seqs!$A:$B,2,0),G181,1),"")</f>
        <v>G</v>
      </c>
      <c r="G181" s="3">
        <v>151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I</v>
      </c>
      <c r="M181" s="3">
        <v>155</v>
      </c>
      <c r="N181" s="3" t="str">
        <f>IFERROR(MID(VLOOKUP($B181,Seqs!$A:$B,2,0),O181,1),"")</f>
        <v>K</v>
      </c>
      <c r="O181" s="3">
        <v>185</v>
      </c>
      <c r="P181" s="3" t="str">
        <f>IFERROR(MID(VLOOKUP($B181,Seqs!$A:$B,2,0),Q181,1),"")</f>
        <v>L</v>
      </c>
      <c r="Q181" s="3">
        <v>187</v>
      </c>
      <c r="R181" s="3" t="str">
        <f>IFERROR(MID(VLOOKUP($B181,Seqs!$A:$B,2,0),S181,1),"")</f>
        <v>V</v>
      </c>
      <c r="S181" s="3">
        <v>190</v>
      </c>
      <c r="T181" s="3" t="str">
        <f>IFERROR(MID(VLOOKUP($B181,Seqs!$A:$B,2,0),U181,1),"")</f>
        <v>D</v>
      </c>
      <c r="U181" s="3">
        <v>191</v>
      </c>
      <c r="V181" s="3" t="str">
        <f>IFERROR(MID(VLOOKUP($B181,Seqs!$A:$B,2,0),W181,1),"")</f>
        <v>L</v>
      </c>
      <c r="W181" s="3">
        <v>226</v>
      </c>
      <c r="X181" s="3" t="str">
        <f>IFERROR(MID(VLOOKUP($B181,Seqs!$A:$B,2,0),Y181,1),"")</f>
        <v>L</v>
      </c>
      <c r="Y181" s="3">
        <v>227</v>
      </c>
      <c r="Z181" s="3" t="str">
        <f>IFERROR(MID(VLOOKUP($B181,Seqs!$A:$B,2,0),AA181,1),"")</f>
        <v>A</v>
      </c>
      <c r="AA181" s="3">
        <v>234</v>
      </c>
      <c r="AB181" s="3" t="str">
        <f>IFERROR(MID(VLOOKUP($B181,Seqs!$A:$B,2,0),AC181,1),"")</f>
        <v>T</v>
      </c>
      <c r="AC181" s="3">
        <v>235</v>
      </c>
      <c r="AD181" s="3" t="str">
        <f>IFERROR(MID(VLOOKUP($B181,Seqs!$A:$B,2,0),AE181,1),"")</f>
        <v>T</v>
      </c>
      <c r="AE181" s="3">
        <v>261</v>
      </c>
      <c r="AF181" s="3" t="str">
        <f>IFERROR(MID(VLOOKUP($B181,Seqs!$A:$B,2,0),AG181,1),"")</f>
        <v>T</v>
      </c>
      <c r="AG181" s="3">
        <v>274</v>
      </c>
      <c r="AH181" s="3" t="str">
        <f>IFERROR(MID(VLOOKUP($B181,Seqs!$A:$B,2,0),AI181,1),"")</f>
        <v>L</v>
      </c>
      <c r="AI181" s="3">
        <v>276</v>
      </c>
      <c r="AJ181" s="3" t="str">
        <f>IFERROR(MID(VLOOKUP($B181,Seqs!$A:$B,2,0),AK181,1),"")</f>
        <v>L</v>
      </c>
      <c r="AK181" s="3">
        <v>281</v>
      </c>
      <c r="AL181" s="3" t="str">
        <f>IFERROR(MID(VLOOKUP($B181,Seqs!$A:$B,2,0),AM181,1),"")</f>
        <v>L</v>
      </c>
      <c r="AM181" s="3">
        <v>318</v>
      </c>
      <c r="AN181" s="3" t="str">
        <f>IFERROR(MID(VLOOKUP($B181,Seqs!$A:$B,2,0),AO181,1),"")</f>
        <v>L</v>
      </c>
      <c r="AO181" s="3">
        <v>323</v>
      </c>
      <c r="AP181" s="3" t="str">
        <f>IFERROR(MID(VLOOKUP($B181,Seqs!$A:$B,2,0),AQ181,1),"")</f>
        <v/>
      </c>
      <c r="AQ181" s="3">
        <v>354</v>
      </c>
      <c r="AR181" s="3" t="str">
        <f>IFERROR(MID(VLOOKUP($B181,Seqs!$A:$B,2,0),AS181,1),"")</f>
        <v/>
      </c>
      <c r="AS181" s="3">
        <v>358</v>
      </c>
      <c r="AT181" s="3" t="str">
        <f>IFERROR(MID(VLOOKUP($B181,Seqs!$A:$B,2,0),AU181,1),"")</f>
        <v/>
      </c>
      <c r="AU181" s="3">
        <v>394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Complementpeptide</v>
      </c>
      <c r="BB181" s="27" t="b">
        <f t="shared" si="1428"/>
        <v>1</v>
      </c>
      <c r="BC181" s="23">
        <f t="shared" si="1429"/>
        <v>250</v>
      </c>
      <c r="BD181" s="2" t="s">
        <v>23</v>
      </c>
      <c r="BE181" s="3" t="s">
        <v>1370</v>
      </c>
      <c r="BF181" s="118">
        <v>2.9</v>
      </c>
      <c r="BG181" s="49" t="s">
        <v>1277</v>
      </c>
      <c r="BH181" s="49" t="s">
        <v>1277</v>
      </c>
      <c r="BI181" s="1"/>
      <c r="BJ181" s="70" t="s">
        <v>1283</v>
      </c>
      <c r="BK181" s="57" t="s">
        <v>1283</v>
      </c>
      <c r="BL181" s="57" t="s">
        <v>1283</v>
      </c>
      <c r="BM181" s="57" t="s">
        <v>1283</v>
      </c>
      <c r="BN181" s="57" t="s">
        <v>1283</v>
      </c>
      <c r="BO181" s="57" t="s">
        <v>1283</v>
      </c>
      <c r="BP181" s="57" t="s">
        <v>1283</v>
      </c>
      <c r="BQ181" s="57" t="s">
        <v>1283</v>
      </c>
      <c r="BR181" s="57" t="s">
        <v>1283</v>
      </c>
      <c r="BS181" s="57" t="s">
        <v>1283</v>
      </c>
      <c r="BT181" s="57" t="s">
        <v>1283</v>
      </c>
      <c r="BU181" s="57" t="s">
        <v>1283</v>
      </c>
      <c r="BV181" s="70">
        <f t="shared" si="1430"/>
        <v>120</v>
      </c>
      <c r="BW181" s="71" t="str">
        <f t="shared" si="1431"/>
        <v>-</v>
      </c>
      <c r="BX181" s="72">
        <f t="shared" si="1432"/>
        <v>155</v>
      </c>
      <c r="BY181" s="71">
        <f t="shared" si="1433"/>
        <v>187</v>
      </c>
      <c r="BZ181" s="72">
        <f t="shared" si="1434"/>
        <v>191</v>
      </c>
      <c r="CA181" s="71">
        <f t="shared" si="1435"/>
        <v>227</v>
      </c>
      <c r="CB181" s="72">
        <f t="shared" si="1436"/>
        <v>235</v>
      </c>
      <c r="CC181" s="71">
        <f t="shared" si="1437"/>
        <v>274</v>
      </c>
      <c r="CD181" s="72">
        <f t="shared" si="1438"/>
        <v>281</v>
      </c>
      <c r="CE181" s="71">
        <f t="shared" si="1439"/>
        <v>323</v>
      </c>
      <c r="CF181" s="72">
        <f t="shared" si="1440"/>
        <v>358</v>
      </c>
      <c r="CG181" s="71" t="str">
        <f t="shared" si="1441"/>
        <v>-</v>
      </c>
      <c r="CH181" s="70">
        <f t="shared" si="1442"/>
        <v>151</v>
      </c>
      <c r="CI181" s="71" t="str">
        <f t="shared" si="1443"/>
        <v>-</v>
      </c>
      <c r="CJ181" s="72">
        <f t="shared" si="1444"/>
        <v>185</v>
      </c>
      <c r="CK181" s="72">
        <f t="shared" si="1445"/>
        <v>190</v>
      </c>
      <c r="CL181" s="72">
        <f t="shared" si="1446"/>
        <v>226</v>
      </c>
      <c r="CM181" s="72">
        <f t="shared" si="1447"/>
        <v>234</v>
      </c>
      <c r="CN181" s="72">
        <f t="shared" si="1448"/>
        <v>261</v>
      </c>
      <c r="CO181" s="72">
        <f t="shared" si="1449"/>
        <v>276</v>
      </c>
      <c r="CP181" s="72">
        <f t="shared" si="1450"/>
        <v>318</v>
      </c>
      <c r="CQ181" s="72">
        <f t="shared" si="1451"/>
        <v>354</v>
      </c>
      <c r="CR181" s="72">
        <f t="shared" si="1452"/>
        <v>394</v>
      </c>
      <c r="CS181" s="72" t="str">
        <f t="shared" si="1453"/>
        <v>-</v>
      </c>
      <c r="CT181" s="23" t="e">
        <f t="shared" si="1454"/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1427"/>
        <v>c5ar1_human_6C1R</v>
      </c>
      <c r="B182" s="3" t="s">
        <v>165</v>
      </c>
      <c r="C182" s="3" t="s">
        <v>1495</v>
      </c>
      <c r="D182" s="3" t="str">
        <f>IFERROR(MID(VLOOKUP($B182,Seqs!$A:$B,2,0),E182,1),"")</f>
        <v>M</v>
      </c>
      <c r="E182" s="3">
        <v>120</v>
      </c>
      <c r="F182" s="3" t="str">
        <f>IFERROR(MID(VLOOKUP($B182,Seqs!$A:$B,2,0),G182,1),"")</f>
        <v>G</v>
      </c>
      <c r="G182" s="3">
        <v>151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I</v>
      </c>
      <c r="M182" s="3">
        <v>155</v>
      </c>
      <c r="N182" s="3" t="str">
        <f>IFERROR(MID(VLOOKUP($B182,Seqs!$A:$B,2,0),O182,1),"")</f>
        <v>K</v>
      </c>
      <c r="O182" s="3">
        <v>185</v>
      </c>
      <c r="P182" s="3" t="str">
        <f>IFERROR(MID(VLOOKUP($B182,Seqs!$A:$B,2,0),Q182,1),"")</f>
        <v>L</v>
      </c>
      <c r="Q182" s="3">
        <v>187</v>
      </c>
      <c r="R182" s="3" t="str">
        <f>IFERROR(MID(VLOOKUP($B182,Seqs!$A:$B,2,0),S182,1),"")</f>
        <v>V</v>
      </c>
      <c r="S182" s="3">
        <v>190</v>
      </c>
      <c r="T182" s="3" t="str">
        <f>IFERROR(MID(VLOOKUP($B182,Seqs!$A:$B,2,0),U182,1),"")</f>
        <v>D</v>
      </c>
      <c r="U182" s="3">
        <v>191</v>
      </c>
      <c r="V182" s="3" t="str">
        <f>IFERROR(MID(VLOOKUP($B182,Seqs!$A:$B,2,0),W182,1),"")</f>
        <v>L</v>
      </c>
      <c r="W182" s="3">
        <v>226</v>
      </c>
      <c r="X182" s="3" t="str">
        <f>IFERROR(MID(VLOOKUP($B182,Seqs!$A:$B,2,0),Y182,1),"")</f>
        <v>L</v>
      </c>
      <c r="Y182" s="3">
        <v>227</v>
      </c>
      <c r="Z182" s="3" t="str">
        <f>IFERROR(MID(VLOOKUP($B182,Seqs!$A:$B,2,0),AA182,1),"")</f>
        <v>A</v>
      </c>
      <c r="AA182" s="3">
        <v>234</v>
      </c>
      <c r="AB182" s="3" t="str">
        <f>IFERROR(MID(VLOOKUP($B182,Seqs!$A:$B,2,0),AC182,1),"")</f>
        <v>T</v>
      </c>
      <c r="AC182" s="3">
        <v>235</v>
      </c>
      <c r="AD182" s="3" t="str">
        <f>IFERROR(MID(VLOOKUP($B182,Seqs!$A:$B,2,0),AE182,1),"")</f>
        <v>T</v>
      </c>
      <c r="AE182" s="3">
        <v>261</v>
      </c>
      <c r="AF182" s="3" t="str">
        <f>IFERROR(MID(VLOOKUP($B182,Seqs!$A:$B,2,0),AG182,1),"")</f>
        <v>T</v>
      </c>
      <c r="AG182" s="3">
        <v>274</v>
      </c>
      <c r="AH182" s="3" t="str">
        <f>IFERROR(MID(VLOOKUP($B182,Seqs!$A:$B,2,0),AI182,1),"")</f>
        <v>L</v>
      </c>
      <c r="AI182" s="3">
        <v>276</v>
      </c>
      <c r="AJ182" s="3" t="str">
        <f>IFERROR(MID(VLOOKUP($B182,Seqs!$A:$B,2,0),AK182,1),"")</f>
        <v>L</v>
      </c>
      <c r="AK182" s="3">
        <v>281</v>
      </c>
      <c r="AL182" s="3" t="str">
        <f>IFERROR(MID(VLOOKUP($B182,Seqs!$A:$B,2,0),AM182,1),"")</f>
        <v>L</v>
      </c>
      <c r="AM182" s="3">
        <v>318</v>
      </c>
      <c r="AN182" s="3" t="str">
        <f>IFERROR(MID(VLOOKUP($B182,Seqs!$A:$B,2,0),AO182,1),"")</f>
        <v>L</v>
      </c>
      <c r="AO182" s="3">
        <v>323</v>
      </c>
      <c r="AP182" s="3" t="str">
        <f>IFERROR(MID(VLOOKUP($B182,Seqs!$A:$B,2,0),AQ182,1),"")</f>
        <v/>
      </c>
      <c r="AQ182" s="3">
        <v>354</v>
      </c>
      <c r="AR182" s="3" t="str">
        <f>IFERROR(MID(VLOOKUP($B182,Seqs!$A:$B,2,0),AS182,1),"")</f>
        <v/>
      </c>
      <c r="AS182" s="3">
        <v>358</v>
      </c>
      <c r="AT182" s="3" t="str">
        <f>IFERROR(MID(VLOOKUP($B182,Seqs!$A:$B,2,0),AU182,1),"")</f>
        <v/>
      </c>
      <c r="AU182" s="3">
        <v>394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7" t="str">
        <f>VLOOKUP(B182,Classification!A:D,2,0)</f>
        <v>A</v>
      </c>
      <c r="BA182" s="94" t="str">
        <f>VLOOKUP(B182,Classification!A:D,4,0)</f>
        <v>Complementpeptide</v>
      </c>
      <c r="BB182" s="27" t="b">
        <f t="shared" si="1428"/>
        <v>1</v>
      </c>
      <c r="BC182" s="23">
        <f t="shared" si="1429"/>
        <v>250</v>
      </c>
      <c r="BD182" s="2" t="s">
        <v>23</v>
      </c>
      <c r="BE182" s="3" t="s">
        <v>1370</v>
      </c>
      <c r="BF182" s="118">
        <v>2.2000000000000002</v>
      </c>
      <c r="BG182" s="49" t="s">
        <v>1277</v>
      </c>
      <c r="BH182" s="49" t="s">
        <v>1277</v>
      </c>
      <c r="BI182" s="1"/>
      <c r="BJ182" s="70" t="s">
        <v>1283</v>
      </c>
      <c r="BK182" s="57" t="s">
        <v>1283</v>
      </c>
      <c r="BL182" s="57" t="s">
        <v>1283</v>
      </c>
      <c r="BM182" s="57" t="s">
        <v>1283</v>
      </c>
      <c r="BN182" s="57" t="s">
        <v>1283</v>
      </c>
      <c r="BO182" s="57" t="s">
        <v>1283</v>
      </c>
      <c r="BP182" s="57" t="s">
        <v>1283</v>
      </c>
      <c r="BQ182" s="57" t="s">
        <v>1283</v>
      </c>
      <c r="BR182" s="57" t="s">
        <v>1283</v>
      </c>
      <c r="BS182" s="57" t="s">
        <v>1283</v>
      </c>
      <c r="BT182" s="57" t="s">
        <v>1283</v>
      </c>
      <c r="BU182" s="57" t="s">
        <v>1283</v>
      </c>
      <c r="BV182" s="70">
        <f t="shared" si="1430"/>
        <v>120</v>
      </c>
      <c r="BW182" s="71" t="str">
        <f t="shared" si="1431"/>
        <v>-</v>
      </c>
      <c r="BX182" s="72">
        <f t="shared" si="1432"/>
        <v>155</v>
      </c>
      <c r="BY182" s="71">
        <f t="shared" si="1433"/>
        <v>187</v>
      </c>
      <c r="BZ182" s="72">
        <f t="shared" si="1434"/>
        <v>191</v>
      </c>
      <c r="CA182" s="71">
        <f t="shared" si="1435"/>
        <v>227</v>
      </c>
      <c r="CB182" s="72">
        <f t="shared" si="1436"/>
        <v>235</v>
      </c>
      <c r="CC182" s="71">
        <f t="shared" si="1437"/>
        <v>274</v>
      </c>
      <c r="CD182" s="72">
        <f t="shared" si="1438"/>
        <v>281</v>
      </c>
      <c r="CE182" s="71">
        <f t="shared" si="1439"/>
        <v>323</v>
      </c>
      <c r="CF182" s="72">
        <f t="shared" si="1440"/>
        <v>358</v>
      </c>
      <c r="CG182" s="71" t="str">
        <f t="shared" si="1441"/>
        <v>-</v>
      </c>
      <c r="CH182" s="70">
        <f t="shared" si="1442"/>
        <v>151</v>
      </c>
      <c r="CI182" s="71" t="str">
        <f t="shared" si="1443"/>
        <v>-</v>
      </c>
      <c r="CJ182" s="72">
        <f t="shared" si="1444"/>
        <v>185</v>
      </c>
      <c r="CK182" s="72">
        <f t="shared" si="1445"/>
        <v>190</v>
      </c>
      <c r="CL182" s="72">
        <f t="shared" si="1446"/>
        <v>226</v>
      </c>
      <c r="CM182" s="72">
        <f t="shared" si="1447"/>
        <v>234</v>
      </c>
      <c r="CN182" s="72">
        <f t="shared" si="1448"/>
        <v>261</v>
      </c>
      <c r="CO182" s="72">
        <f t="shared" si="1449"/>
        <v>276</v>
      </c>
      <c r="CP182" s="72">
        <f t="shared" si="1450"/>
        <v>318</v>
      </c>
      <c r="CQ182" s="72">
        <f t="shared" si="1451"/>
        <v>354</v>
      </c>
      <c r="CR182" s="72">
        <f t="shared" si="1452"/>
        <v>394</v>
      </c>
      <c r="CS182" s="72" t="str">
        <f t="shared" si="1453"/>
        <v>-</v>
      </c>
      <c r="CT182" s="23" t="e">
        <f t="shared" si="1454"/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si="1231"/>
        <v>ccr2_human__wt</v>
      </c>
      <c r="B183" s="3" t="s">
        <v>170</v>
      </c>
      <c r="C183" s="3" t="s">
        <v>100</v>
      </c>
      <c r="D183" s="3" t="str">
        <f>IFERROR(MID(VLOOKUP($B183,Seqs!$A:$B,2,0),E183,1),"")</f>
        <v>V</v>
      </c>
      <c r="E183" s="3">
        <v>37</v>
      </c>
      <c r="F183" s="3" t="str">
        <f>IFERROR(MID(VLOOKUP($B183,Seqs!$A:$B,2,0),G183,1),"")</f>
        <v>C</v>
      </c>
      <c r="G183" s="3">
        <v>70</v>
      </c>
      <c r="H183" s="3" t="str">
        <f>IFERROR(MID(VLOOKUP($B183,Seqs!$A:$B,2,0),I183,1),"")</f>
        <v>K</v>
      </c>
      <c r="I183" s="23">
        <v>71</v>
      </c>
      <c r="J183" s="3" t="str">
        <f>IFERROR(MID(VLOOKUP($B183,Seqs!$A:$B,2,0),K183,1),"")</f>
        <v>K</v>
      </c>
      <c r="K183" s="23">
        <v>74</v>
      </c>
      <c r="L183" s="3" t="str">
        <f>IFERROR(MID(VLOOKUP($B183,Seqs!$A:$B,2,0),M183,1),"")</f>
        <v>C</v>
      </c>
      <c r="M183" s="3">
        <v>75</v>
      </c>
      <c r="N183" s="3" t="str">
        <f>IFERROR(MID(VLOOKUP($B183,Seqs!$A:$B,2,0),O183,1),"")</f>
        <v>N</v>
      </c>
      <c r="O183" s="3">
        <v>104</v>
      </c>
      <c r="P183" s="3" t="str">
        <f>IFERROR(MID(VLOOKUP($B183,Seqs!$A:$B,2,0),Q183,1),"")</f>
        <v>E</v>
      </c>
      <c r="Q183" s="3">
        <v>105</v>
      </c>
      <c r="R183" s="3" t="str">
        <f>IFERROR(MID(VLOOKUP($B183,Seqs!$A:$B,2,0),S183,1),"")</f>
        <v>F</v>
      </c>
      <c r="S183" s="3">
        <v>108</v>
      </c>
      <c r="T183" s="3" t="str">
        <f>IFERROR(MID(VLOOKUP($B183,Seqs!$A:$B,2,0),U183,1),"")</f>
        <v>G</v>
      </c>
      <c r="U183" s="3">
        <v>109</v>
      </c>
      <c r="V183" s="3" t="str">
        <f>IFERROR(MID(VLOOKUP($B183,Seqs!$A:$B,2,0),W183,1),"")</f>
        <v>H</v>
      </c>
      <c r="W183" s="3">
        <v>144</v>
      </c>
      <c r="X183" s="3" t="str">
        <f>IFERROR(MID(VLOOKUP($B183,Seqs!$A:$B,2,0),Y183,1),"")</f>
        <v>A</v>
      </c>
      <c r="Y183" s="3">
        <v>145</v>
      </c>
      <c r="Z183" s="3" t="str">
        <f>IFERROR(MID(VLOOKUP($B183,Seqs!$A:$B,2,0),AA183,1),"")</f>
        <v>R</v>
      </c>
      <c r="AA183" s="3">
        <v>152</v>
      </c>
      <c r="AB183" s="3" t="str">
        <f>IFERROR(MID(VLOOKUP($B183,Seqs!$A:$B,2,0),AC183,1),"")</f>
        <v>T</v>
      </c>
      <c r="AC183" s="9">
        <v>153</v>
      </c>
      <c r="AD183" s="3" t="str">
        <f>IFERROR(MID(VLOOKUP($B183,Seqs!$A:$B,2,0),AE183,1),"")</f>
        <v>T</v>
      </c>
      <c r="AE183" s="3">
        <v>179</v>
      </c>
      <c r="AF183" s="3" t="str">
        <f>IFERROR(MID(VLOOKUP($B183,Seqs!$A:$B,2,0),AG183,1),"")</f>
        <v>C</v>
      </c>
      <c r="AG183" s="3">
        <v>190</v>
      </c>
      <c r="AH183" s="3" t="str">
        <f>IFERROR(MID(VLOOKUP($B183,Seqs!$A:$B,2,0),AI183,1),"")</f>
        <v>P</v>
      </c>
      <c r="AI183" s="3">
        <v>192</v>
      </c>
      <c r="AJ183" s="3" t="str">
        <f>IFERROR(MID(VLOOKUP($B183,Seqs!$A:$B,2,0),AK183,1),"")</f>
        <v>P</v>
      </c>
      <c r="AK183" s="3">
        <v>195</v>
      </c>
      <c r="AL183" s="3" t="str">
        <f>IFERROR(MID(VLOOKUP($B183,Seqs!$A:$B,2,0),AM183,1),"")</f>
        <v>C</v>
      </c>
      <c r="AM183" s="3">
        <v>232</v>
      </c>
      <c r="AN183" s="3" t="str">
        <f>IFERROR(MID(VLOOKUP($B183,Seqs!$A:$B,2,0),AO183,1),"")</f>
        <v>K</v>
      </c>
      <c r="AO183" s="3">
        <v>236</v>
      </c>
      <c r="AP183" s="3" t="str">
        <f>IFERROR(MID(VLOOKUP($B183,Seqs!$A:$B,2,0),AQ183,1),"")</f>
        <v>G</v>
      </c>
      <c r="AQ183" s="3">
        <v>273</v>
      </c>
      <c r="AR183" s="3" t="str">
        <f>IFERROR(MID(VLOOKUP($B183,Seqs!$A:$B,2,0),AS183,1),"")</f>
        <v>E</v>
      </c>
      <c r="AS183" s="3">
        <v>278</v>
      </c>
      <c r="AT183" s="3" t="str">
        <f>IFERROR(MID(VLOOKUP($B183,Seqs!$A:$B,2,0),AU183,1),"")</f>
        <v>V</v>
      </c>
      <c r="AU183" s="3">
        <v>308</v>
      </c>
      <c r="AV183" s="3" t="str">
        <f>IFERROR(MID(VLOOKUP($B183,Seqs!$A:$B,2,0),AW183,1),"")</f>
        <v>G</v>
      </c>
      <c r="AW183" s="3">
        <v>309</v>
      </c>
      <c r="AX183" s="3" t="str">
        <f>IFERROR(MID(VLOOKUP($B183,Seqs!$A:$B,2,0),AY183,1),"")</f>
        <v>L</v>
      </c>
      <c r="AY183" s="3">
        <v>320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si="1232"/>
        <v>1</v>
      </c>
      <c r="BC183" s="23">
        <f t="shared" si="981"/>
        <v>265</v>
      </c>
      <c r="BD183" s="2" t="s">
        <v>23</v>
      </c>
      <c r="BE183" s="3" t="s">
        <v>23</v>
      </c>
      <c r="BF183" s="118" t="s">
        <v>23</v>
      </c>
      <c r="BG183" s="49" t="s">
        <v>1368</v>
      </c>
      <c r="BH183" s="49" t="s">
        <v>1373</v>
      </c>
      <c r="BI183" s="1"/>
      <c r="BJ183" s="70" t="s">
        <v>1283</v>
      </c>
      <c r="BK183" s="57" t="s">
        <v>1283</v>
      </c>
      <c r="BL183" s="57" t="s">
        <v>1283</v>
      </c>
      <c r="BM183" s="57" t="s">
        <v>1283</v>
      </c>
      <c r="BN183" s="57" t="s">
        <v>1283</v>
      </c>
      <c r="BO183" s="57" t="s">
        <v>1283</v>
      </c>
      <c r="BP183" s="57" t="s">
        <v>1283</v>
      </c>
      <c r="BQ183" s="57" t="s">
        <v>1283</v>
      </c>
      <c r="BR183" s="57" t="s">
        <v>1283</v>
      </c>
      <c r="BS183" s="57" t="s">
        <v>1283</v>
      </c>
      <c r="BT183" s="57" t="s">
        <v>1283</v>
      </c>
      <c r="BU183" s="57" t="s">
        <v>1283</v>
      </c>
      <c r="BV183" s="70">
        <f t="shared" si="982"/>
        <v>37</v>
      </c>
      <c r="BW183" s="71">
        <f t="shared" si="983"/>
        <v>71</v>
      </c>
      <c r="BX183" s="72">
        <f t="shared" si="984"/>
        <v>75</v>
      </c>
      <c r="BY183" s="71">
        <f t="shared" si="985"/>
        <v>105</v>
      </c>
      <c r="BZ183" s="72">
        <f t="shared" si="986"/>
        <v>109</v>
      </c>
      <c r="CA183" s="71">
        <f t="shared" si="987"/>
        <v>145</v>
      </c>
      <c r="CB183" s="72">
        <f t="shared" si="988"/>
        <v>153</v>
      </c>
      <c r="CC183" s="71">
        <f t="shared" si="989"/>
        <v>190</v>
      </c>
      <c r="CD183" s="72">
        <f t="shared" si="990"/>
        <v>195</v>
      </c>
      <c r="CE183" s="71">
        <f t="shared" si="991"/>
        <v>236</v>
      </c>
      <c r="CF183" s="72">
        <f t="shared" si="992"/>
        <v>278</v>
      </c>
      <c r="CG183" s="71">
        <f t="shared" si="993"/>
        <v>309</v>
      </c>
      <c r="CH183" s="70">
        <f t="shared" si="994"/>
        <v>70</v>
      </c>
      <c r="CI183" s="71">
        <f t="shared" si="995"/>
        <v>74</v>
      </c>
      <c r="CJ183" s="72">
        <f t="shared" si="996"/>
        <v>104</v>
      </c>
      <c r="CK183" s="72">
        <f t="shared" si="997"/>
        <v>108</v>
      </c>
      <c r="CL183" s="72">
        <f t="shared" si="998"/>
        <v>144</v>
      </c>
      <c r="CM183" s="72">
        <f t="shared" si="999"/>
        <v>152</v>
      </c>
      <c r="CN183" s="72">
        <f t="shared" si="1000"/>
        <v>179</v>
      </c>
      <c r="CO183" s="72">
        <f t="shared" si="1001"/>
        <v>192</v>
      </c>
      <c r="CP183" s="72">
        <f t="shared" si="1002"/>
        <v>232</v>
      </c>
      <c r="CQ183" s="72">
        <f t="shared" si="1003"/>
        <v>273</v>
      </c>
      <c r="CR183" s="72">
        <f t="shared" si="1004"/>
        <v>308</v>
      </c>
      <c r="CS183" s="72">
        <f t="shared" si="1005"/>
        <v>320</v>
      </c>
      <c r="CT183" s="23">
        <f t="shared" si="1006"/>
        <v>1</v>
      </c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  <c r="ALU183" s="6"/>
      <c r="ALV183" s="6"/>
      <c r="ALW183" s="6"/>
      <c r="ALX183" s="6"/>
      <c r="ALY183" s="6"/>
      <c r="ALZ183" s="6"/>
      <c r="AMA183" s="6"/>
      <c r="AMB183" s="6"/>
      <c r="AMC183" s="6"/>
      <c r="AMD183" s="6"/>
      <c r="AME183" s="6"/>
      <c r="AMF183" s="6"/>
      <c r="AMG183" s="6"/>
      <c r="AMH183" s="6"/>
      <c r="AMI183" s="6"/>
      <c r="AMJ183" s="6"/>
      <c r="AMK183" s="6"/>
      <c r="AML183" s="6"/>
      <c r="AMM183" s="6"/>
      <c r="AMN183" s="6"/>
      <c r="AMO183" s="6"/>
      <c r="AMP183" s="6"/>
    </row>
    <row r="184" spans="1:1030" x14ac:dyDescent="0.2">
      <c r="A184" s="3" t="str">
        <f t="shared" si="1231"/>
        <v>ccr2_human_5T1A</v>
      </c>
      <c r="B184" s="3" t="s">
        <v>170</v>
      </c>
      <c r="C184" s="3" t="s">
        <v>1374</v>
      </c>
      <c r="D184" s="3" t="str">
        <f>IFERROR(MID(VLOOKUP($B184,Seqs!$A:$B,2,0),E184,1),"")</f>
        <v>V</v>
      </c>
      <c r="E184" s="3">
        <v>37</v>
      </c>
      <c r="F184" s="3" t="str">
        <f>IFERROR(MID(VLOOKUP($B184,Seqs!$A:$B,2,0),G184,1),"")</f>
        <v>C</v>
      </c>
      <c r="G184" s="3">
        <v>70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C</v>
      </c>
      <c r="M184" s="3">
        <v>75</v>
      </c>
      <c r="N184" s="3" t="str">
        <f>IFERROR(MID(VLOOKUP($B184,Seqs!$A:$B,2,0),O184,1),"")</f>
        <v>N</v>
      </c>
      <c r="O184" s="3">
        <v>104</v>
      </c>
      <c r="P184" s="3" t="str">
        <f>IFERROR(MID(VLOOKUP($B184,Seqs!$A:$B,2,0),Q184,1),"")</f>
        <v>E</v>
      </c>
      <c r="Q184" s="3">
        <v>105</v>
      </c>
      <c r="R184" s="3" t="str">
        <f>IFERROR(MID(VLOOKUP($B184,Seqs!$A:$B,2,0),S184,1),"")</f>
        <v>F</v>
      </c>
      <c r="S184" s="3">
        <v>108</v>
      </c>
      <c r="T184" s="3" t="str">
        <f>IFERROR(MID(VLOOKUP($B184,Seqs!$A:$B,2,0),U184,1),"")</f>
        <v>G</v>
      </c>
      <c r="U184" s="3">
        <v>109</v>
      </c>
      <c r="V184" s="3" t="str">
        <f>IFERROR(MID(VLOOKUP($B184,Seqs!$A:$B,2,0),W184,1),"")</f>
        <v>H</v>
      </c>
      <c r="W184" s="3">
        <v>144</v>
      </c>
      <c r="X184" s="3" t="str">
        <f>IFERROR(MID(VLOOKUP($B184,Seqs!$A:$B,2,0),Y184,1),"")</f>
        <v>A</v>
      </c>
      <c r="Y184" s="3">
        <v>145</v>
      </c>
      <c r="Z184" s="3" t="str">
        <f>IFERROR(MID(VLOOKUP($B184,Seqs!$A:$B,2,0),AA184,1),"")</f>
        <v>R</v>
      </c>
      <c r="AA184" s="3">
        <v>152</v>
      </c>
      <c r="AB184" s="3" t="str">
        <f>IFERROR(MID(VLOOKUP($B184,Seqs!$A:$B,2,0),AC184,1),"")</f>
        <v>T</v>
      </c>
      <c r="AC184" s="9">
        <v>153</v>
      </c>
      <c r="AD184" s="3" t="str">
        <f>IFERROR(MID(VLOOKUP($B184,Seqs!$A:$B,2,0),AE184,1),"")</f>
        <v>T</v>
      </c>
      <c r="AE184" s="3">
        <v>179</v>
      </c>
      <c r="AF184" s="3" t="str">
        <f>IFERROR(MID(VLOOKUP($B184,Seqs!$A:$B,2,0),AG184,1),"")</f>
        <v>C</v>
      </c>
      <c r="AG184" s="3">
        <v>190</v>
      </c>
      <c r="AH184" s="3" t="str">
        <f>IFERROR(MID(VLOOKUP($B184,Seqs!$A:$B,2,0),AI184,1),"")</f>
        <v>P</v>
      </c>
      <c r="AI184" s="3">
        <v>192</v>
      </c>
      <c r="AJ184" s="3" t="str">
        <f>IFERROR(MID(VLOOKUP($B184,Seqs!$A:$B,2,0),AK184,1),"")</f>
        <v>P</v>
      </c>
      <c r="AK184" s="3">
        <v>195</v>
      </c>
      <c r="AL184" s="3" t="str">
        <f>IFERROR(MID(VLOOKUP($B184,Seqs!$A:$B,2,0),AM184,1),"")</f>
        <v>T</v>
      </c>
      <c r="AM184" s="3">
        <v>228</v>
      </c>
      <c r="AN184" s="3" t="str">
        <f>IFERROR(MID(VLOOKUP($B184,Seqs!$A:$B,2,0),AO184,1),"")</f>
        <v>K</v>
      </c>
      <c r="AO184" s="3">
        <v>236</v>
      </c>
      <c r="AP184" s="3" t="str">
        <f>IFERROR(MID(VLOOKUP($B184,Seqs!$A:$B,2,0),AQ184,1),"")</f>
        <v>G</v>
      </c>
      <c r="AQ184" s="3">
        <v>273</v>
      </c>
      <c r="AR184" s="3" t="str">
        <f>IFERROR(MID(VLOOKUP($B184,Seqs!$A:$B,2,0),AS184,1),"")</f>
        <v>E</v>
      </c>
      <c r="AS184" s="3">
        <v>278</v>
      </c>
      <c r="AT184" s="3" t="str">
        <f>IFERROR(MID(VLOOKUP($B184,Seqs!$A:$B,2,0),AU184,1),"")</f>
        <v>V</v>
      </c>
      <c r="AU184" s="3">
        <v>308</v>
      </c>
      <c r="AV184" s="3" t="str">
        <f>IFERROR(MID(VLOOKUP($B184,Seqs!$A:$B,2,0),AW184,1),"")</f>
        <v>G</v>
      </c>
      <c r="AW184" s="3">
        <v>309</v>
      </c>
      <c r="AX184" s="3" t="str">
        <f>IFERROR(MID(VLOOKUP($B184,Seqs!$A:$B,2,0),AY184,1),"")</f>
        <v>L</v>
      </c>
      <c r="AY184" s="3">
        <v>320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 t="shared" si="1232"/>
        <v>1</v>
      </c>
      <c r="BC184" s="23">
        <f t="shared" si="981"/>
        <v>258</v>
      </c>
      <c r="BD184" s="16" t="s">
        <v>1372</v>
      </c>
      <c r="BE184" s="3" t="s">
        <v>1370</v>
      </c>
      <c r="BF184" s="118">
        <v>2.81</v>
      </c>
      <c r="BG184" s="49" t="s">
        <v>1</v>
      </c>
      <c r="BH184" s="49" t="s">
        <v>1373</v>
      </c>
      <c r="BI184" s="1"/>
      <c r="BJ184" s="70" t="s">
        <v>1283</v>
      </c>
      <c r="BK184" s="57" t="s">
        <v>1283</v>
      </c>
      <c r="BL184" s="57" t="s">
        <v>1283</v>
      </c>
      <c r="BM184" s="57" t="s">
        <v>1283</v>
      </c>
      <c r="BN184" s="57" t="s">
        <v>1283</v>
      </c>
      <c r="BO184" s="57" t="s">
        <v>1283</v>
      </c>
      <c r="BP184" s="57" t="s">
        <v>1283</v>
      </c>
      <c r="BQ184" s="57" t="s">
        <v>1283</v>
      </c>
      <c r="BR184" s="57" t="s">
        <v>1283</v>
      </c>
      <c r="BS184" s="57" t="s">
        <v>1283</v>
      </c>
      <c r="BT184" s="57" t="s">
        <v>1283</v>
      </c>
      <c r="BU184" s="57" t="s">
        <v>1283</v>
      </c>
      <c r="BV184" s="70">
        <f t="shared" si="982"/>
        <v>37</v>
      </c>
      <c r="BW184" s="71" t="str">
        <f t="shared" si="983"/>
        <v>-</v>
      </c>
      <c r="BX184" s="72">
        <f t="shared" si="984"/>
        <v>75</v>
      </c>
      <c r="BY184" s="71">
        <f t="shared" si="985"/>
        <v>105</v>
      </c>
      <c r="BZ184" s="72">
        <f t="shared" si="986"/>
        <v>109</v>
      </c>
      <c r="CA184" s="71">
        <f t="shared" si="987"/>
        <v>145</v>
      </c>
      <c r="CB184" s="72">
        <f t="shared" si="988"/>
        <v>153</v>
      </c>
      <c r="CC184" s="71">
        <f t="shared" si="989"/>
        <v>190</v>
      </c>
      <c r="CD184" s="72">
        <f t="shared" si="990"/>
        <v>195</v>
      </c>
      <c r="CE184" s="71">
        <f t="shared" si="991"/>
        <v>236</v>
      </c>
      <c r="CF184" s="72">
        <f t="shared" si="992"/>
        <v>278</v>
      </c>
      <c r="CG184" s="71">
        <f t="shared" si="993"/>
        <v>309</v>
      </c>
      <c r="CH184" s="70">
        <f t="shared" si="994"/>
        <v>70</v>
      </c>
      <c r="CI184" s="71" t="str">
        <f t="shared" si="995"/>
        <v>-</v>
      </c>
      <c r="CJ184" s="72">
        <f t="shared" si="996"/>
        <v>104</v>
      </c>
      <c r="CK184" s="72">
        <f t="shared" si="997"/>
        <v>108</v>
      </c>
      <c r="CL184" s="72">
        <f t="shared" si="998"/>
        <v>144</v>
      </c>
      <c r="CM184" s="72">
        <f t="shared" si="999"/>
        <v>152</v>
      </c>
      <c r="CN184" s="72">
        <f t="shared" si="1000"/>
        <v>179</v>
      </c>
      <c r="CO184" s="72">
        <f t="shared" si="1001"/>
        <v>192</v>
      </c>
      <c r="CP184" s="72">
        <f t="shared" si="1002"/>
        <v>228</v>
      </c>
      <c r="CQ184" s="72">
        <f t="shared" si="1003"/>
        <v>273</v>
      </c>
      <c r="CR184" s="72">
        <f t="shared" si="1004"/>
        <v>308</v>
      </c>
      <c r="CS184" s="72">
        <f t="shared" si="1005"/>
        <v>320</v>
      </c>
      <c r="CT184" s="23" t="e">
        <f t="shared" si="1006"/>
        <v>#VALUE!</v>
      </c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6"/>
      <c r="ACQ184" s="6"/>
      <c r="ACR184" s="6"/>
      <c r="ACS184" s="6"/>
      <c r="ACT184" s="6"/>
      <c r="ACU184" s="6"/>
      <c r="ACV184" s="6"/>
      <c r="ACW184" s="6"/>
      <c r="ACX184" s="6"/>
      <c r="ACY184" s="6"/>
      <c r="ACZ184" s="6"/>
      <c r="ADA184" s="6"/>
      <c r="ADB184" s="6"/>
      <c r="ADC184" s="6"/>
      <c r="ADD184" s="6"/>
      <c r="ADE184" s="6"/>
      <c r="ADF184" s="6"/>
      <c r="ADG184" s="6"/>
      <c r="ADH184" s="6"/>
      <c r="ADI184" s="6"/>
      <c r="ADJ184" s="6"/>
      <c r="ADK184" s="6"/>
      <c r="ADL184" s="6"/>
      <c r="ADM184" s="6"/>
      <c r="ADN184" s="6"/>
      <c r="ADO184" s="6"/>
      <c r="ADP184" s="6"/>
      <c r="ADQ184" s="6"/>
      <c r="ADR184" s="6"/>
      <c r="ADS184" s="6"/>
      <c r="ADT184" s="6"/>
      <c r="ADU184" s="6"/>
      <c r="ADV184" s="6"/>
      <c r="ADW184" s="6"/>
      <c r="ADX184" s="6"/>
      <c r="ADY184" s="6"/>
      <c r="ADZ184" s="6"/>
      <c r="AEA184" s="6"/>
      <c r="AEB184" s="6"/>
      <c r="AEC184" s="6"/>
      <c r="AED184" s="6"/>
      <c r="AEE184" s="6"/>
      <c r="AEF184" s="6"/>
      <c r="AEG184" s="6"/>
      <c r="AEH184" s="6"/>
      <c r="AEI184" s="6"/>
      <c r="AEJ184" s="6"/>
      <c r="AEK184" s="6"/>
      <c r="AEL184" s="6"/>
      <c r="AEM184" s="6"/>
      <c r="AEN184" s="6"/>
      <c r="AEO184" s="6"/>
      <c r="AEP184" s="6"/>
      <c r="AEQ184" s="6"/>
      <c r="AER184" s="6"/>
      <c r="AES184" s="6"/>
      <c r="AET184" s="6"/>
      <c r="AEU184" s="6"/>
      <c r="AEV184" s="6"/>
      <c r="AEW184" s="6"/>
      <c r="AEX184" s="6"/>
      <c r="AEY184" s="6"/>
      <c r="AEZ184" s="6"/>
      <c r="AFA184" s="6"/>
      <c r="AFB184" s="6"/>
      <c r="AFC184" s="6"/>
      <c r="AFD184" s="6"/>
      <c r="AFE184" s="6"/>
      <c r="AFF184" s="6"/>
      <c r="AFG184" s="6"/>
      <c r="AFH184" s="6"/>
      <c r="AFI184" s="6"/>
      <c r="AFJ184" s="6"/>
      <c r="AFK184" s="6"/>
      <c r="AFL184" s="6"/>
      <c r="AFM184" s="6"/>
      <c r="AFN184" s="6"/>
      <c r="AFO184" s="6"/>
      <c r="AFP184" s="6"/>
      <c r="AFQ184" s="6"/>
      <c r="AFR184" s="6"/>
      <c r="AFS184" s="6"/>
      <c r="AFT184" s="6"/>
      <c r="AFU184" s="6"/>
      <c r="AFV184" s="6"/>
      <c r="AFW184" s="6"/>
      <c r="AFX184" s="6"/>
      <c r="AFY184" s="6"/>
      <c r="AFZ184" s="6"/>
      <c r="AGA184" s="6"/>
      <c r="AGB184" s="6"/>
      <c r="AGC184" s="6"/>
      <c r="AGD184" s="6"/>
      <c r="AGE184" s="6"/>
      <c r="AGF184" s="6"/>
      <c r="AGG184" s="6"/>
      <c r="AGH184" s="6"/>
      <c r="AGI184" s="6"/>
      <c r="AGJ184" s="6"/>
      <c r="AGK184" s="6"/>
      <c r="AGL184" s="6"/>
      <c r="AGM184" s="6"/>
      <c r="AGN184" s="6"/>
      <c r="AGO184" s="6"/>
      <c r="AGP184" s="6"/>
      <c r="AGQ184" s="6"/>
      <c r="AGR184" s="6"/>
      <c r="AGS184" s="6"/>
      <c r="AGT184" s="6"/>
      <c r="AGU184" s="6"/>
      <c r="AGV184" s="6"/>
      <c r="AGW184" s="6"/>
      <c r="AGX184" s="6"/>
      <c r="AGY184" s="6"/>
      <c r="AGZ184" s="6"/>
      <c r="AHA184" s="6"/>
      <c r="AHB184" s="6"/>
      <c r="AHC184" s="6"/>
      <c r="AHD184" s="6"/>
      <c r="AHE184" s="6"/>
      <c r="AHF184" s="6"/>
      <c r="AHG184" s="6"/>
      <c r="AHH184" s="6"/>
      <c r="AHI184" s="6"/>
      <c r="AHJ184" s="6"/>
      <c r="AHK184" s="6"/>
      <c r="AHL184" s="6"/>
      <c r="AHM184" s="6"/>
      <c r="AHN184" s="6"/>
      <c r="AHO184" s="6"/>
      <c r="AHP184" s="6"/>
      <c r="AHQ184" s="6"/>
      <c r="AHR184" s="6"/>
      <c r="AHS184" s="6"/>
      <c r="AHT184" s="6"/>
      <c r="AHU184" s="6"/>
      <c r="AHV184" s="6"/>
      <c r="AHW184" s="6"/>
      <c r="AHX184" s="6"/>
      <c r="AHY184" s="6"/>
      <c r="AHZ184" s="6"/>
      <c r="AIA184" s="6"/>
      <c r="AIB184" s="6"/>
      <c r="AIC184" s="6"/>
      <c r="AID184" s="6"/>
      <c r="AIE184" s="6"/>
      <c r="AIF184" s="6"/>
      <c r="AIG184" s="6"/>
      <c r="AIH184" s="6"/>
      <c r="AII184" s="6"/>
      <c r="AIJ184" s="6"/>
      <c r="AIK184" s="6"/>
      <c r="AIL184" s="6"/>
      <c r="AIM184" s="6"/>
      <c r="AIN184" s="6"/>
      <c r="AIO184" s="6"/>
      <c r="AIP184" s="6"/>
      <c r="AIQ184" s="6"/>
      <c r="AIR184" s="6"/>
      <c r="AIS184" s="6"/>
      <c r="AIT184" s="6"/>
      <c r="AIU184" s="6"/>
      <c r="AIV184" s="6"/>
      <c r="AIW184" s="6"/>
      <c r="AIX184" s="6"/>
      <c r="AIY184" s="6"/>
      <c r="AIZ184" s="6"/>
      <c r="AJA184" s="6"/>
      <c r="AJB184" s="6"/>
      <c r="AJC184" s="6"/>
      <c r="AJD184" s="6"/>
      <c r="AJE184" s="6"/>
      <c r="AJF184" s="6"/>
      <c r="AJG184" s="6"/>
      <c r="AJH184" s="6"/>
      <c r="AJI184" s="6"/>
      <c r="AJJ184" s="6"/>
      <c r="AJK184" s="6"/>
      <c r="AJL184" s="6"/>
      <c r="AJM184" s="6"/>
      <c r="AJN184" s="6"/>
      <c r="AJO184" s="6"/>
      <c r="AJP184" s="6"/>
      <c r="AJQ184" s="6"/>
      <c r="AJR184" s="6"/>
      <c r="AJS184" s="6"/>
      <c r="AJT184" s="6"/>
      <c r="AJU184" s="6"/>
      <c r="AJV184" s="6"/>
      <c r="AJW184" s="6"/>
      <c r="AJX184" s="6"/>
      <c r="AJY184" s="6"/>
      <c r="AJZ184" s="6"/>
      <c r="AKA184" s="6"/>
      <c r="AKB184" s="6"/>
      <c r="AKC184" s="6"/>
      <c r="AKD184" s="6"/>
      <c r="AKE184" s="6"/>
      <c r="AKF184" s="6"/>
      <c r="AKG184" s="6"/>
      <c r="AKH184" s="6"/>
      <c r="AKI184" s="6"/>
      <c r="AKJ184" s="6"/>
      <c r="AKK184" s="6"/>
      <c r="AKL184" s="6"/>
      <c r="AKM184" s="6"/>
      <c r="AKN184" s="6"/>
      <c r="AKO184" s="6"/>
      <c r="AKP184" s="6"/>
      <c r="AKQ184" s="6"/>
      <c r="AKR184" s="6"/>
      <c r="AKS184" s="6"/>
      <c r="AKT184" s="6"/>
      <c r="AKU184" s="6"/>
      <c r="AKV184" s="6"/>
      <c r="AKW184" s="6"/>
      <c r="AKX184" s="6"/>
      <c r="AKY184" s="6"/>
      <c r="AKZ184" s="6"/>
      <c r="ALA184" s="6"/>
      <c r="ALB184" s="6"/>
      <c r="ALC184" s="6"/>
      <c r="ALD184" s="6"/>
      <c r="ALE184" s="6"/>
      <c r="ALF184" s="6"/>
      <c r="ALG184" s="6"/>
      <c r="ALH184" s="6"/>
      <c r="ALI184" s="6"/>
      <c r="ALJ184" s="6"/>
      <c r="ALK184" s="6"/>
      <c r="ALL184" s="6"/>
      <c r="ALM184" s="6"/>
      <c r="ALN184" s="6"/>
      <c r="ALO184" s="6"/>
      <c r="ALP184" s="6"/>
      <c r="ALQ184" s="6"/>
      <c r="ALR184" s="6"/>
      <c r="ALS184" s="6"/>
      <c r="ALT184" s="6"/>
      <c r="ALU184" s="6"/>
      <c r="ALV184" s="6"/>
      <c r="ALW184" s="6"/>
      <c r="ALX184" s="6"/>
      <c r="ALY184" s="6"/>
      <c r="ALZ184" s="6"/>
      <c r="AMA184" s="6"/>
      <c r="AMB184" s="6"/>
      <c r="AMC184" s="6"/>
      <c r="AMD184" s="6"/>
      <c r="AME184" s="6"/>
      <c r="AMF184" s="6"/>
      <c r="AMG184" s="6"/>
      <c r="AMH184" s="6"/>
      <c r="AMI184" s="6"/>
      <c r="AMJ184" s="6"/>
      <c r="AMK184" s="6"/>
      <c r="AML184" s="6"/>
      <c r="AMM184" s="6"/>
      <c r="AMN184" s="6"/>
      <c r="AMO184" s="6"/>
      <c r="AMP184" s="6"/>
    </row>
    <row r="185" spans="1:1030" x14ac:dyDescent="0.2">
      <c r="A185" s="3" t="str">
        <f t="shared" ref="A185" si="1567">CONCATENATE(B185,"_",C185)</f>
        <v>ccr2_human_6GPS</v>
      </c>
      <c r="B185" s="3" t="s">
        <v>170</v>
      </c>
      <c r="C185" s="3" t="s">
        <v>1542</v>
      </c>
      <c r="D185" s="3" t="str">
        <f>IFERROR(MID(VLOOKUP($B185,Seqs!$A:$B,2,0),E185,1),"")</f>
        <v>V</v>
      </c>
      <c r="E185" s="3">
        <v>37</v>
      </c>
      <c r="F185" s="3" t="str">
        <f>IFERROR(MID(VLOOKUP($B185,Seqs!$A:$B,2,0),G185,1),"")</f>
        <v>K</v>
      </c>
      <c r="G185" s="3">
        <v>71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L</v>
      </c>
      <c r="M185" s="3">
        <v>76</v>
      </c>
      <c r="N185" s="3" t="str">
        <f>IFERROR(MID(VLOOKUP($B185,Seqs!$A:$B,2,0),O185,1),"")</f>
        <v>A</v>
      </c>
      <c r="O185" s="3">
        <v>102</v>
      </c>
      <c r="P185" s="3" t="str">
        <f>IFERROR(MID(VLOOKUP($B185,Seqs!$A:$B,2,0),Q185,1),"")</f>
        <v>E</v>
      </c>
      <c r="Q185" s="3">
        <v>105</v>
      </c>
      <c r="R185" s="3" t="str">
        <f>IFERROR(MID(VLOOKUP($B185,Seqs!$A:$B,2,0),S185,1),"")</f>
        <v>F</v>
      </c>
      <c r="S185" s="3">
        <v>108</v>
      </c>
      <c r="T185" s="3" t="str">
        <f>IFERROR(MID(VLOOKUP($B185,Seqs!$A:$B,2,0),U185,1),"")</f>
        <v>G</v>
      </c>
      <c r="U185" s="3">
        <v>109</v>
      </c>
      <c r="V185" s="3" t="str">
        <f>IFERROR(MID(VLOOKUP($B185,Seqs!$A:$B,2,0),W185,1),"")</f>
        <v>H</v>
      </c>
      <c r="W185" s="3">
        <v>144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R</v>
      </c>
      <c r="AC185" s="3">
        <v>152</v>
      </c>
      <c r="AD185" s="3" t="str">
        <f>IFERROR(MID(VLOOKUP($B185,Seqs!$A:$B,2,0),AE185,1),"")</f>
        <v>T</v>
      </c>
      <c r="AE185" s="3">
        <v>179</v>
      </c>
      <c r="AF185" s="3" t="str">
        <f>IFERROR(MID(VLOOKUP($B185,Seqs!$A:$B,2,0),AG185,1),"")</f>
        <v>C</v>
      </c>
      <c r="AG185" s="3">
        <v>190</v>
      </c>
      <c r="AH185" s="3" t="str">
        <f>IFERROR(MID(VLOOKUP($B185,Seqs!$A:$B,2,0),AI185,1),"")</f>
        <v>P</v>
      </c>
      <c r="AI185" s="3">
        <v>192</v>
      </c>
      <c r="AJ185" s="3" t="str">
        <f>IFERROR(MID(VLOOKUP($B185,Seqs!$A:$B,2,0),AK185,1),"")</f>
        <v>P</v>
      </c>
      <c r="AK185" s="3">
        <v>195</v>
      </c>
      <c r="AL185" s="3" t="str">
        <f>IFERROR(MID(VLOOKUP($B185,Seqs!$A:$B,2,0),AM185,1),"")</f>
        <v>R</v>
      </c>
      <c r="AM185" s="3">
        <v>231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F</v>
      </c>
      <c r="AQ185" s="3">
        <v>268</v>
      </c>
      <c r="AR185" s="3" t="str">
        <f>IFERROR(MID(VLOOKUP($B185,Seqs!$A:$B,2,0),AS185,1),"")</f>
        <v>S</v>
      </c>
      <c r="AS185" s="3">
        <v>279</v>
      </c>
      <c r="AT185" s="3" t="str">
        <f>IFERROR(MID(VLOOKUP($B185,Seqs!$A:$B,2,0),AU185,1),"")</f>
        <v>G</v>
      </c>
      <c r="AU185" s="3">
        <v>309</v>
      </c>
      <c r="AV185" s="3" t="str">
        <f>IFERROR(MID(VLOOKUP($B185,Seqs!$A:$B,2,0),AW185,1),"")</f>
        <v>E</v>
      </c>
      <c r="AW185" s="3">
        <v>310</v>
      </c>
      <c r="AX185" s="3" t="str">
        <f>IFERROR(MID(VLOOKUP($B185,Seqs!$A:$B,2,0),AY185,1),"")</f>
        <v>G</v>
      </c>
      <c r="AY185" s="3">
        <v>321</v>
      </c>
      <c r="AZ185" s="77" t="str">
        <f>VLOOKUP(B185,Classification!A:D,2,0)</f>
        <v>A</v>
      </c>
      <c r="BA185" s="94" t="str">
        <f>VLOOKUP(B185,Classification!A:D,4,0)</f>
        <v>Chemokine</v>
      </c>
      <c r="BB185" s="27" t="b">
        <f t="shared" ref="BB185" si="1568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ref="BC185" si="1569">_xlfn.AGGREGATE(9,6,CH185:CS185)-_xlfn.AGGREGATE(9,6,BV185:CG185)+12</f>
        <v>243</v>
      </c>
      <c r="BD185" s="16" t="s">
        <v>23</v>
      </c>
      <c r="BE185" s="3" t="s">
        <v>1370</v>
      </c>
      <c r="BF185" s="118">
        <v>3.3</v>
      </c>
      <c r="BG185" s="49" t="s">
        <v>1</v>
      </c>
      <c r="BH185" s="49" t="s">
        <v>1</v>
      </c>
      <c r="BI185" s="1"/>
      <c r="BJ185" s="70" t="s">
        <v>1283</v>
      </c>
      <c r="BK185" s="57" t="s">
        <v>1283</v>
      </c>
      <c r="BL185" s="57" t="s">
        <v>1283</v>
      </c>
      <c r="BM185" s="57" t="s">
        <v>1283</v>
      </c>
      <c r="BN185" s="57" t="s">
        <v>1283</v>
      </c>
      <c r="BO185" s="57" t="s">
        <v>1283</v>
      </c>
      <c r="BP185" s="57" t="s">
        <v>1283</v>
      </c>
      <c r="BQ185" s="57" t="s">
        <v>1283</v>
      </c>
      <c r="BR185" s="57" t="s">
        <v>1283</v>
      </c>
      <c r="BS185" s="57" t="s">
        <v>1283</v>
      </c>
      <c r="BT185" s="57" t="s">
        <v>1283</v>
      </c>
      <c r="BU185" s="57" t="s">
        <v>1283</v>
      </c>
      <c r="BV185" s="70">
        <f t="shared" ref="BV185" si="1570">E185</f>
        <v>37</v>
      </c>
      <c r="BW185" s="71" t="str">
        <f t="shared" ref="BW185" si="1571">I185</f>
        <v>-</v>
      </c>
      <c r="BX185" s="72">
        <f t="shared" ref="BX185" si="1572">M185</f>
        <v>76</v>
      </c>
      <c r="BY185" s="71">
        <f t="shared" ref="BY185" si="1573">Q185</f>
        <v>105</v>
      </c>
      <c r="BZ185" s="72">
        <f t="shared" ref="BZ185" si="1574">U185</f>
        <v>109</v>
      </c>
      <c r="CA185" s="71" t="str">
        <f t="shared" ref="CA185" si="1575">Y185</f>
        <v>-</v>
      </c>
      <c r="CB185" s="72">
        <f t="shared" ref="CB185" si="1576">AC185</f>
        <v>152</v>
      </c>
      <c r="CC185" s="71">
        <f t="shared" ref="CC185" si="1577">AG185</f>
        <v>190</v>
      </c>
      <c r="CD185" s="72">
        <f t="shared" ref="CD185" si="1578">AK185</f>
        <v>195</v>
      </c>
      <c r="CE185" s="71">
        <f t="shared" ref="CE185" si="1579">AO185</f>
        <v>241</v>
      </c>
      <c r="CF185" s="72">
        <f t="shared" ref="CF185" si="1580">AS185</f>
        <v>279</v>
      </c>
      <c r="CG185" s="71">
        <f t="shared" ref="CG185" si="1581">AW185</f>
        <v>310</v>
      </c>
      <c r="CH185" s="70">
        <f t="shared" ref="CH185" si="1582">G185</f>
        <v>71</v>
      </c>
      <c r="CI185" s="71" t="str">
        <f t="shared" ref="CI185" si="1583">K185</f>
        <v>-</v>
      </c>
      <c r="CJ185" s="72">
        <f t="shared" ref="CJ185" si="1584">O185</f>
        <v>102</v>
      </c>
      <c r="CK185" s="72">
        <f t="shared" ref="CK185" si="1585">S185</f>
        <v>108</v>
      </c>
      <c r="CL185" s="72">
        <f t="shared" ref="CL185" si="1586">W185</f>
        <v>144</v>
      </c>
      <c r="CM185" s="72" t="str">
        <f t="shared" ref="CM185" si="1587">AA185</f>
        <v>-</v>
      </c>
      <c r="CN185" s="72">
        <f t="shared" ref="CN185" si="1588">AE185</f>
        <v>179</v>
      </c>
      <c r="CO185" s="72">
        <f t="shared" ref="CO185" si="1589">AI185</f>
        <v>192</v>
      </c>
      <c r="CP185" s="72">
        <f t="shared" ref="CP185" si="1590">AM185</f>
        <v>231</v>
      </c>
      <c r="CQ185" s="72">
        <f t="shared" ref="CQ185" si="1591">AQ185</f>
        <v>268</v>
      </c>
      <c r="CR185" s="72">
        <f t="shared" ref="CR185" si="1592">AU185</f>
        <v>309</v>
      </c>
      <c r="CS185" s="72">
        <f t="shared" ref="CS185" si="1593">AY185</f>
        <v>321</v>
      </c>
      <c r="CT185" s="23" t="e">
        <f t="shared" ref="CT185" si="1594">M185-K185</f>
        <v>#VALUE!</v>
      </c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  <c r="AMK185" s="6"/>
      <c r="AML185" s="6"/>
      <c r="AMM185" s="6"/>
      <c r="AMN185" s="6"/>
      <c r="AMO185" s="6"/>
      <c r="AMP185" s="6"/>
    </row>
    <row r="186" spans="1:1030" x14ac:dyDescent="0.2">
      <c r="A186" s="3" t="str">
        <f t="shared" ref="A186" si="1595">CONCATENATE(B186,"_",C186)</f>
        <v>ccr2_human_6GPX</v>
      </c>
      <c r="B186" s="3" t="s">
        <v>170</v>
      </c>
      <c r="C186" s="3" t="s">
        <v>1543</v>
      </c>
      <c r="D186" s="3" t="str">
        <f>IFERROR(MID(VLOOKUP($B186,Seqs!$A:$B,2,0),E186,1),"")</f>
        <v>F</v>
      </c>
      <c r="E186" s="3">
        <v>35</v>
      </c>
      <c r="F186" s="3" t="str">
        <f>IFERROR(MID(VLOOKUP($B186,Seqs!$A:$B,2,0),G186,1),"")</f>
        <v>K</v>
      </c>
      <c r="G186" s="3">
        <v>71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C</v>
      </c>
      <c r="M186" s="3">
        <v>75</v>
      </c>
      <c r="N186" s="3" t="str">
        <f>IFERROR(MID(VLOOKUP($B186,Seqs!$A:$B,2,0),O186,1),"")</f>
        <v>A</v>
      </c>
      <c r="O186" s="3">
        <v>102</v>
      </c>
      <c r="P186" s="3" t="str">
        <f>IFERROR(MID(VLOOKUP($B186,Seqs!$A:$B,2,0),Q186,1),"")</f>
        <v>E</v>
      </c>
      <c r="Q186" s="3">
        <v>105</v>
      </c>
      <c r="R186" s="3" t="str">
        <f>IFERROR(MID(VLOOKUP($B186,Seqs!$A:$B,2,0),S186,1),"")</f>
        <v>F</v>
      </c>
      <c r="S186" s="3">
        <v>108</v>
      </c>
      <c r="T186" s="3" t="str">
        <f>IFERROR(MID(VLOOKUP($B186,Seqs!$A:$B,2,0),U186,1),"")</f>
        <v>G</v>
      </c>
      <c r="U186" s="3">
        <v>109</v>
      </c>
      <c r="V186" s="3" t="str">
        <f>IFERROR(MID(VLOOKUP($B186,Seqs!$A:$B,2,0),W186,1),"")</f>
        <v>H</v>
      </c>
      <c r="W186" s="3">
        <v>144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R</v>
      </c>
      <c r="AC186" s="3">
        <v>152</v>
      </c>
      <c r="AD186" s="3" t="str">
        <f>IFERROR(MID(VLOOKUP($B186,Seqs!$A:$B,2,0),AE186,1),"")</f>
        <v>T</v>
      </c>
      <c r="AE186" s="3">
        <v>179</v>
      </c>
      <c r="AF186" s="3" t="str">
        <f>IFERROR(MID(VLOOKUP($B186,Seqs!$A:$B,2,0),AG186,1),"")</f>
        <v>C</v>
      </c>
      <c r="AG186" s="3">
        <v>190</v>
      </c>
      <c r="AH186" s="3" t="str">
        <f>IFERROR(MID(VLOOKUP($B186,Seqs!$A:$B,2,0),AI186,1),"")</f>
        <v>P</v>
      </c>
      <c r="AI186" s="3">
        <v>192</v>
      </c>
      <c r="AJ186" s="3" t="str">
        <f>IFERROR(MID(VLOOKUP($B186,Seqs!$A:$B,2,0),AK186,1),"")</f>
        <v>P</v>
      </c>
      <c r="AK186" s="3">
        <v>195</v>
      </c>
      <c r="AL186" s="3" t="str">
        <f>IFERROR(MID(VLOOKUP($B186,Seqs!$A:$B,2,0),AM186,1),"")</f>
        <v>L</v>
      </c>
      <c r="AM186" s="3">
        <v>229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F</v>
      </c>
      <c r="AQ186" s="3">
        <v>268</v>
      </c>
      <c r="AR186" s="3" t="str">
        <f>IFERROR(MID(VLOOKUP($B186,Seqs!$A:$B,2,0),AS186,1),"")</f>
        <v>N</v>
      </c>
      <c r="AS186" s="3">
        <v>276</v>
      </c>
      <c r="AT186" s="3" t="str">
        <f>IFERROR(MID(VLOOKUP($B186,Seqs!$A:$B,2,0),AU186,1),"")</f>
        <v>V</v>
      </c>
      <c r="AU186" s="3">
        <v>308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7" t="str">
        <f>VLOOKUP(B186,Classification!A:D,2,0)</f>
        <v>A</v>
      </c>
      <c r="BA186" s="94" t="str">
        <f>VLOOKUP(B186,Classification!A:D,4,0)</f>
        <v>Chemokine</v>
      </c>
      <c r="BB186" s="27" t="b">
        <f t="shared" ref="BB186" si="1596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 t="shared" ref="BC186" si="1597">_xlfn.AGGREGATE(9,6,CH186:CS186)-_xlfn.AGGREGATE(9,6,BV186:CG186)+12</f>
        <v>235</v>
      </c>
      <c r="BD186" s="16" t="s">
        <v>23</v>
      </c>
      <c r="BE186" s="3" t="s">
        <v>1370</v>
      </c>
      <c r="BF186" s="118">
        <v>2.7</v>
      </c>
      <c r="BG186" s="49" t="s">
        <v>1</v>
      </c>
      <c r="BH186" s="49" t="s">
        <v>1</v>
      </c>
      <c r="BI186" s="1"/>
      <c r="BJ186" s="70" t="s">
        <v>1283</v>
      </c>
      <c r="BK186" s="57" t="s">
        <v>1283</v>
      </c>
      <c r="BL186" s="57" t="s">
        <v>1283</v>
      </c>
      <c r="BM186" s="57" t="s">
        <v>1283</v>
      </c>
      <c r="BN186" s="57" t="s">
        <v>1283</v>
      </c>
      <c r="BO186" s="57" t="s">
        <v>1283</v>
      </c>
      <c r="BP186" s="57" t="s">
        <v>1283</v>
      </c>
      <c r="BQ186" s="57" t="s">
        <v>1283</v>
      </c>
      <c r="BR186" s="57" t="s">
        <v>1283</v>
      </c>
      <c r="BS186" s="57" t="s">
        <v>1283</v>
      </c>
      <c r="BT186" s="57" t="s">
        <v>1283</v>
      </c>
      <c r="BU186" s="57" t="s">
        <v>1283</v>
      </c>
      <c r="BV186" s="70">
        <f t="shared" ref="BV186" si="1598">E186</f>
        <v>35</v>
      </c>
      <c r="BW186" s="71" t="str">
        <f t="shared" ref="BW186" si="1599">I186</f>
        <v>-</v>
      </c>
      <c r="BX186" s="72">
        <f t="shared" ref="BX186" si="1600">M186</f>
        <v>75</v>
      </c>
      <c r="BY186" s="71">
        <f t="shared" ref="BY186" si="1601">Q186</f>
        <v>105</v>
      </c>
      <c r="BZ186" s="72">
        <f t="shared" ref="BZ186" si="1602">U186</f>
        <v>109</v>
      </c>
      <c r="CA186" s="71" t="str">
        <f t="shared" ref="CA186" si="1603">Y186</f>
        <v>-</v>
      </c>
      <c r="CB186" s="72">
        <f t="shared" ref="CB186" si="1604">AC186</f>
        <v>152</v>
      </c>
      <c r="CC186" s="71">
        <f t="shared" ref="CC186" si="1605">AG186</f>
        <v>190</v>
      </c>
      <c r="CD186" s="72">
        <f t="shared" ref="CD186" si="1606">AK186</f>
        <v>195</v>
      </c>
      <c r="CE186" s="71">
        <f t="shared" ref="CE186" si="1607">AO186</f>
        <v>241</v>
      </c>
      <c r="CF186" s="72">
        <f t="shared" ref="CF186" si="1608">AS186</f>
        <v>276</v>
      </c>
      <c r="CG186" s="71" t="str">
        <f t="shared" ref="CG186" si="1609">AW186</f>
        <v>-</v>
      </c>
      <c r="CH186" s="70">
        <f t="shared" ref="CH186" si="1610">G186</f>
        <v>71</v>
      </c>
      <c r="CI186" s="71" t="str">
        <f t="shared" ref="CI186" si="1611">K186</f>
        <v>-</v>
      </c>
      <c r="CJ186" s="72">
        <f t="shared" ref="CJ186" si="1612">O186</f>
        <v>102</v>
      </c>
      <c r="CK186" s="72">
        <f t="shared" ref="CK186" si="1613">S186</f>
        <v>108</v>
      </c>
      <c r="CL186" s="72">
        <f t="shared" ref="CL186" si="1614">W186</f>
        <v>144</v>
      </c>
      <c r="CM186" s="72" t="str">
        <f t="shared" ref="CM186" si="1615">AA186</f>
        <v>-</v>
      </c>
      <c r="CN186" s="72">
        <f t="shared" ref="CN186" si="1616">AE186</f>
        <v>179</v>
      </c>
      <c r="CO186" s="72">
        <f t="shared" ref="CO186" si="1617">AI186</f>
        <v>192</v>
      </c>
      <c r="CP186" s="72">
        <f t="shared" ref="CP186" si="1618">AM186</f>
        <v>229</v>
      </c>
      <c r="CQ186" s="72">
        <f t="shared" ref="CQ186" si="1619">AQ186</f>
        <v>268</v>
      </c>
      <c r="CR186" s="72">
        <f t="shared" ref="CR186" si="1620">AU186</f>
        <v>308</v>
      </c>
      <c r="CS186" s="72" t="str">
        <f t="shared" ref="CS186" si="1621">AY186</f>
        <v>-</v>
      </c>
      <c r="CT186" s="23" t="e">
        <f t="shared" ref="CT186" si="1622">M186-K186</f>
        <v>#VALUE!</v>
      </c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  <c r="SG186" s="6"/>
      <c r="SH186" s="6"/>
      <c r="SI186" s="6"/>
      <c r="SJ186" s="6"/>
      <c r="SK186" s="6"/>
      <c r="SL186" s="6"/>
      <c r="SM186" s="6"/>
      <c r="SN186" s="6"/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r="UJ186" s="6"/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r="WF186" s="6"/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  <c r="XA186" s="6"/>
      <c r="XB186" s="6"/>
      <c r="XC186" s="6"/>
      <c r="XD186" s="6"/>
      <c r="XE186" s="6"/>
      <c r="XF186" s="6"/>
      <c r="XG186" s="6"/>
      <c r="XH186" s="6"/>
      <c r="XI186" s="6"/>
      <c r="XJ186" s="6"/>
      <c r="XK186" s="6"/>
      <c r="XL186" s="6"/>
      <c r="XM186" s="6"/>
      <c r="XN186" s="6"/>
      <c r="XO186" s="6"/>
      <c r="XP186" s="6"/>
      <c r="XQ186" s="6"/>
      <c r="XR186" s="6"/>
      <c r="XS186" s="6"/>
      <c r="XT186" s="6"/>
      <c r="XU186" s="6"/>
      <c r="XV186" s="6"/>
      <c r="XW186" s="6"/>
      <c r="XX186" s="6"/>
      <c r="XY186" s="6"/>
      <c r="XZ186" s="6"/>
      <c r="YA186" s="6"/>
      <c r="YB186" s="6"/>
      <c r="YC186" s="6"/>
      <c r="YD186" s="6"/>
      <c r="YE186" s="6"/>
      <c r="YF186" s="6"/>
      <c r="YG186" s="6"/>
      <c r="YH186" s="6"/>
      <c r="YI186" s="6"/>
      <c r="YJ186" s="6"/>
      <c r="YK186" s="6"/>
      <c r="YL186" s="6"/>
      <c r="YM186" s="6"/>
      <c r="YN186" s="6"/>
      <c r="YO186" s="6"/>
      <c r="YP186" s="6"/>
      <c r="YQ186" s="6"/>
      <c r="YR186" s="6"/>
      <c r="YS186" s="6"/>
      <c r="YT186" s="6"/>
      <c r="YU186" s="6"/>
      <c r="YV186" s="6"/>
      <c r="YW186" s="6"/>
      <c r="YX186" s="6"/>
      <c r="YY186" s="6"/>
      <c r="YZ186" s="6"/>
      <c r="ZA186" s="6"/>
      <c r="ZB186" s="6"/>
      <c r="ZC186" s="6"/>
      <c r="ZD186" s="6"/>
      <c r="ZE186" s="6"/>
      <c r="ZF186" s="6"/>
      <c r="ZG186" s="6"/>
      <c r="ZH186" s="6"/>
      <c r="ZI186" s="6"/>
      <c r="ZJ186" s="6"/>
      <c r="ZK186" s="6"/>
      <c r="ZL186" s="6"/>
      <c r="ZM186" s="6"/>
      <c r="ZN186" s="6"/>
      <c r="ZO186" s="6"/>
      <c r="ZP186" s="6"/>
      <c r="ZQ186" s="6"/>
      <c r="ZR186" s="6"/>
      <c r="ZS186" s="6"/>
      <c r="ZT186" s="6"/>
      <c r="ZU186" s="6"/>
      <c r="ZV186" s="6"/>
      <c r="ZW186" s="6"/>
      <c r="ZX186" s="6"/>
      <c r="ZY186" s="6"/>
      <c r="ZZ186" s="6"/>
      <c r="AAA186" s="6"/>
      <c r="AAB186" s="6"/>
      <c r="AAC186" s="6"/>
      <c r="AAD186" s="6"/>
      <c r="AAE186" s="6"/>
      <c r="AAF186" s="6"/>
      <c r="AAG186" s="6"/>
      <c r="AAH186" s="6"/>
      <c r="AAI186" s="6"/>
      <c r="AAJ186" s="6"/>
      <c r="AAK186" s="6"/>
      <c r="AAL186" s="6"/>
      <c r="AAM186" s="6"/>
      <c r="AAN186" s="6"/>
      <c r="AAO186" s="6"/>
      <c r="AAP186" s="6"/>
      <c r="AAQ186" s="6"/>
      <c r="AAR186" s="6"/>
      <c r="AAS186" s="6"/>
      <c r="AAT186" s="6"/>
      <c r="AAU186" s="6"/>
      <c r="AAV186" s="6"/>
      <c r="AAW186" s="6"/>
      <c r="AAX186" s="6"/>
      <c r="AAY186" s="6"/>
      <c r="AAZ186" s="6"/>
      <c r="ABA186" s="6"/>
      <c r="ABB186" s="6"/>
      <c r="ABC186" s="6"/>
      <c r="ABD186" s="6"/>
      <c r="ABE186" s="6"/>
      <c r="ABF186" s="6"/>
      <c r="ABG186" s="6"/>
      <c r="ABH186" s="6"/>
      <c r="ABI186" s="6"/>
      <c r="ABJ186" s="6"/>
      <c r="ABK186" s="6"/>
      <c r="ABL186" s="6"/>
      <c r="ABM186" s="6"/>
      <c r="ABN186" s="6"/>
      <c r="ABO186" s="6"/>
      <c r="ABP186" s="6"/>
      <c r="ABQ186" s="6"/>
      <c r="ABR186" s="6"/>
      <c r="ABS186" s="6"/>
      <c r="ABT186" s="6"/>
      <c r="ABU186" s="6"/>
      <c r="ABV186" s="6"/>
      <c r="ABW186" s="6"/>
      <c r="ABX186" s="6"/>
      <c r="ABY186" s="6"/>
      <c r="ABZ186" s="6"/>
      <c r="ACA186" s="6"/>
      <c r="ACB186" s="6"/>
      <c r="ACC186" s="6"/>
      <c r="ACD186" s="6"/>
      <c r="ACE186" s="6"/>
      <c r="ACF186" s="6"/>
      <c r="ACG186" s="6"/>
      <c r="ACH186" s="6"/>
      <c r="ACI186" s="6"/>
      <c r="ACJ186" s="6"/>
      <c r="ACK186" s="6"/>
      <c r="ACL186" s="6"/>
      <c r="ACM186" s="6"/>
      <c r="ACN186" s="6"/>
      <c r="ACO186" s="6"/>
      <c r="ACP186" s="6"/>
      <c r="ACQ186" s="6"/>
      <c r="ACR186" s="6"/>
      <c r="ACS186" s="6"/>
      <c r="ACT186" s="6"/>
      <c r="ACU186" s="6"/>
      <c r="ACV186" s="6"/>
      <c r="ACW186" s="6"/>
      <c r="ACX186" s="6"/>
      <c r="ACY186" s="6"/>
      <c r="ACZ186" s="6"/>
      <c r="ADA186" s="6"/>
      <c r="ADB186" s="6"/>
      <c r="ADC186" s="6"/>
      <c r="ADD186" s="6"/>
      <c r="ADE186" s="6"/>
      <c r="ADF186" s="6"/>
      <c r="ADG186" s="6"/>
      <c r="ADH186" s="6"/>
      <c r="ADI186" s="6"/>
      <c r="ADJ186" s="6"/>
      <c r="ADK186" s="6"/>
      <c r="ADL186" s="6"/>
      <c r="ADM186" s="6"/>
      <c r="ADN186" s="6"/>
      <c r="ADO186" s="6"/>
      <c r="ADP186" s="6"/>
      <c r="ADQ186" s="6"/>
      <c r="ADR186" s="6"/>
      <c r="ADS186" s="6"/>
      <c r="ADT186" s="6"/>
      <c r="ADU186" s="6"/>
      <c r="ADV186" s="6"/>
      <c r="ADW186" s="6"/>
      <c r="ADX186" s="6"/>
      <c r="ADY186" s="6"/>
      <c r="ADZ186" s="6"/>
      <c r="AEA186" s="6"/>
      <c r="AEB186" s="6"/>
      <c r="AEC186" s="6"/>
      <c r="AED186" s="6"/>
      <c r="AEE186" s="6"/>
      <c r="AEF186" s="6"/>
      <c r="AEG186" s="6"/>
      <c r="AEH186" s="6"/>
      <c r="AEI186" s="6"/>
      <c r="AEJ186" s="6"/>
      <c r="AEK186" s="6"/>
      <c r="AEL186" s="6"/>
      <c r="AEM186" s="6"/>
      <c r="AEN186" s="6"/>
      <c r="AEO186" s="6"/>
      <c r="AEP186" s="6"/>
      <c r="AEQ186" s="6"/>
      <c r="AER186" s="6"/>
      <c r="AES186" s="6"/>
      <c r="AET186" s="6"/>
      <c r="AEU186" s="6"/>
      <c r="AEV186" s="6"/>
      <c r="AEW186" s="6"/>
      <c r="AEX186" s="6"/>
      <c r="AEY186" s="6"/>
      <c r="AEZ186" s="6"/>
      <c r="AFA186" s="6"/>
      <c r="AFB186" s="6"/>
      <c r="AFC186" s="6"/>
      <c r="AFD186" s="6"/>
      <c r="AFE186" s="6"/>
      <c r="AFF186" s="6"/>
      <c r="AFG186" s="6"/>
      <c r="AFH186" s="6"/>
      <c r="AFI186" s="6"/>
      <c r="AFJ186" s="6"/>
      <c r="AFK186" s="6"/>
      <c r="AFL186" s="6"/>
      <c r="AFM186" s="6"/>
      <c r="AFN186" s="6"/>
      <c r="AFO186" s="6"/>
      <c r="AFP186" s="6"/>
      <c r="AFQ186" s="6"/>
      <c r="AFR186" s="6"/>
      <c r="AFS186" s="6"/>
      <c r="AFT186" s="6"/>
      <c r="AFU186" s="6"/>
      <c r="AFV186" s="6"/>
      <c r="AFW186" s="6"/>
      <c r="AFX186" s="6"/>
      <c r="AFY186" s="6"/>
      <c r="AFZ186" s="6"/>
      <c r="AGA186" s="6"/>
      <c r="AGB186" s="6"/>
      <c r="AGC186" s="6"/>
      <c r="AGD186" s="6"/>
      <c r="AGE186" s="6"/>
      <c r="AGF186" s="6"/>
      <c r="AGG186" s="6"/>
      <c r="AGH186" s="6"/>
      <c r="AGI186" s="6"/>
      <c r="AGJ186" s="6"/>
      <c r="AGK186" s="6"/>
      <c r="AGL186" s="6"/>
      <c r="AGM186" s="6"/>
      <c r="AGN186" s="6"/>
      <c r="AGO186" s="6"/>
      <c r="AGP186" s="6"/>
      <c r="AGQ186" s="6"/>
      <c r="AGR186" s="6"/>
      <c r="AGS186" s="6"/>
      <c r="AGT186" s="6"/>
      <c r="AGU186" s="6"/>
      <c r="AGV186" s="6"/>
      <c r="AGW186" s="6"/>
      <c r="AGX186" s="6"/>
      <c r="AGY186" s="6"/>
      <c r="AGZ186" s="6"/>
      <c r="AHA186" s="6"/>
      <c r="AHB186" s="6"/>
      <c r="AHC186" s="6"/>
      <c r="AHD186" s="6"/>
      <c r="AHE186" s="6"/>
      <c r="AHF186" s="6"/>
      <c r="AHG186" s="6"/>
      <c r="AHH186" s="6"/>
      <c r="AHI186" s="6"/>
      <c r="AHJ186" s="6"/>
      <c r="AHK186" s="6"/>
      <c r="AHL186" s="6"/>
      <c r="AHM186" s="6"/>
      <c r="AHN186" s="6"/>
      <c r="AHO186" s="6"/>
      <c r="AHP186" s="6"/>
      <c r="AHQ186" s="6"/>
      <c r="AHR186" s="6"/>
      <c r="AHS186" s="6"/>
      <c r="AHT186" s="6"/>
      <c r="AHU186" s="6"/>
      <c r="AHV186" s="6"/>
      <c r="AHW186" s="6"/>
      <c r="AHX186" s="6"/>
      <c r="AHY186" s="6"/>
      <c r="AHZ186" s="6"/>
      <c r="AIA186" s="6"/>
      <c r="AIB186" s="6"/>
      <c r="AIC186" s="6"/>
      <c r="AID186" s="6"/>
      <c r="AIE186" s="6"/>
      <c r="AIF186" s="6"/>
      <c r="AIG186" s="6"/>
      <c r="AIH186" s="6"/>
      <c r="AII186" s="6"/>
      <c r="AIJ186" s="6"/>
      <c r="AIK186" s="6"/>
      <c r="AIL186" s="6"/>
      <c r="AIM186" s="6"/>
      <c r="AIN186" s="6"/>
      <c r="AIO186" s="6"/>
      <c r="AIP186" s="6"/>
      <c r="AIQ186" s="6"/>
      <c r="AIR186" s="6"/>
      <c r="AIS186" s="6"/>
      <c r="AIT186" s="6"/>
      <c r="AIU186" s="6"/>
      <c r="AIV186" s="6"/>
      <c r="AIW186" s="6"/>
      <c r="AIX186" s="6"/>
      <c r="AIY186" s="6"/>
      <c r="AIZ186" s="6"/>
      <c r="AJA186" s="6"/>
      <c r="AJB186" s="6"/>
      <c r="AJC186" s="6"/>
      <c r="AJD186" s="6"/>
      <c r="AJE186" s="6"/>
      <c r="AJF186" s="6"/>
      <c r="AJG186" s="6"/>
      <c r="AJH186" s="6"/>
      <c r="AJI186" s="6"/>
      <c r="AJJ186" s="6"/>
      <c r="AJK186" s="6"/>
      <c r="AJL186" s="6"/>
      <c r="AJM186" s="6"/>
      <c r="AJN186" s="6"/>
      <c r="AJO186" s="6"/>
      <c r="AJP186" s="6"/>
      <c r="AJQ186" s="6"/>
      <c r="AJR186" s="6"/>
      <c r="AJS186" s="6"/>
      <c r="AJT186" s="6"/>
      <c r="AJU186" s="6"/>
      <c r="AJV186" s="6"/>
      <c r="AJW186" s="6"/>
      <c r="AJX186" s="6"/>
      <c r="AJY186" s="6"/>
      <c r="AJZ186" s="6"/>
      <c r="AKA186" s="6"/>
      <c r="AKB186" s="6"/>
      <c r="AKC186" s="6"/>
      <c r="AKD186" s="6"/>
      <c r="AKE186" s="6"/>
      <c r="AKF186" s="6"/>
      <c r="AKG186" s="6"/>
      <c r="AKH186" s="6"/>
      <c r="AKI186" s="6"/>
      <c r="AKJ186" s="6"/>
      <c r="AKK186" s="6"/>
      <c r="AKL186" s="6"/>
      <c r="AKM186" s="6"/>
      <c r="AKN186" s="6"/>
      <c r="AKO186" s="6"/>
      <c r="AKP186" s="6"/>
      <c r="AKQ186" s="6"/>
      <c r="AKR186" s="6"/>
      <c r="AKS186" s="6"/>
      <c r="AKT186" s="6"/>
      <c r="AKU186" s="6"/>
      <c r="AKV186" s="6"/>
      <c r="AKW186" s="6"/>
      <c r="AKX186" s="6"/>
      <c r="AKY186" s="6"/>
      <c r="AKZ186" s="6"/>
      <c r="ALA186" s="6"/>
      <c r="ALB186" s="6"/>
      <c r="ALC186" s="6"/>
      <c r="ALD186" s="6"/>
      <c r="ALE186" s="6"/>
      <c r="ALF186" s="6"/>
      <c r="ALG186" s="6"/>
      <c r="ALH186" s="6"/>
      <c r="ALI186" s="6"/>
      <c r="ALJ186" s="6"/>
      <c r="ALK186" s="6"/>
      <c r="ALL186" s="6"/>
      <c r="ALM186" s="6"/>
      <c r="ALN186" s="6"/>
      <c r="ALO186" s="6"/>
      <c r="ALP186" s="6"/>
      <c r="ALQ186" s="6"/>
      <c r="ALR186" s="6"/>
      <c r="ALS186" s="6"/>
      <c r="ALT186" s="6"/>
      <c r="ALU186" s="6"/>
      <c r="ALV186" s="6"/>
      <c r="ALW186" s="6"/>
      <c r="ALX186" s="6"/>
      <c r="ALY186" s="6"/>
      <c r="ALZ186" s="6"/>
      <c r="AMA186" s="6"/>
      <c r="AMB186" s="6"/>
      <c r="AMC186" s="6"/>
      <c r="AMD186" s="6"/>
      <c r="AME186" s="6"/>
      <c r="AMF186" s="6"/>
      <c r="AMG186" s="6"/>
      <c r="AMH186" s="6"/>
      <c r="AMI186" s="6"/>
      <c r="AMJ186" s="6"/>
      <c r="AMK186" s="6"/>
      <c r="AML186" s="6"/>
      <c r="AMM186" s="6"/>
      <c r="AMN186" s="6"/>
      <c r="AMO186" s="6"/>
      <c r="AMP186" s="6"/>
    </row>
    <row r="187" spans="1:1030" x14ac:dyDescent="0.2">
      <c r="A187" s="3" t="str">
        <f t="shared" si="1231"/>
        <v>ccr5_human__wt</v>
      </c>
      <c r="B187" s="3" t="s">
        <v>173</v>
      </c>
      <c r="C187" s="3" t="s">
        <v>100</v>
      </c>
      <c r="D187" s="3" t="str">
        <f>IFERROR(MID(VLOOKUP($B187,Seqs!$A:$B,2,0),E187,1),"")</f>
        <v>K</v>
      </c>
      <c r="E187" s="3">
        <v>22</v>
      </c>
      <c r="F187" s="3" t="str">
        <f>IFERROR(MID(VLOOKUP($B187,Seqs!$A:$B,2,0),G187,1),"")</f>
        <v>C</v>
      </c>
      <c r="G187" s="3">
        <v>58</v>
      </c>
      <c r="H187" s="3" t="str">
        <f>IFERROR(MID(VLOOKUP($B187,Seqs!$A:$B,2,0),I187,1),"")</f>
        <v>K</v>
      </c>
      <c r="I187" s="23">
        <v>59</v>
      </c>
      <c r="J187" s="3" t="str">
        <f>IFERROR(MID(VLOOKUP($B187,Seqs!$A:$B,2,0),K187,1),"")</f>
        <v>K</v>
      </c>
      <c r="K187" s="23">
        <v>62</v>
      </c>
      <c r="L187" s="3" t="str">
        <f>IFERROR(MID(VLOOKUP($B187,Seqs!$A:$B,2,0),M187,1),"")</f>
        <v>S</v>
      </c>
      <c r="M187" s="3">
        <v>63</v>
      </c>
      <c r="N187" s="3" t="str">
        <f>IFERROR(MID(VLOOKUP($B187,Seqs!$A:$B,2,0),O187,1),"")</f>
        <v>A</v>
      </c>
      <c r="O187" s="3">
        <v>92</v>
      </c>
      <c r="P187" s="3" t="str">
        <f>IFERROR(MID(VLOOKUP($B187,Seqs!$A:$B,2,0),Q187,1),"")</f>
        <v>Q</v>
      </c>
      <c r="Q187" s="3">
        <v>93</v>
      </c>
      <c r="R187" s="3" t="str">
        <f>IFERROR(MID(VLOOKUP($B187,Seqs!$A:$B,2,0),S187,1),"")</f>
        <v>F</v>
      </c>
      <c r="S187" s="3">
        <v>96</v>
      </c>
      <c r="T187" s="3" t="str">
        <f>IFERROR(MID(VLOOKUP($B187,Seqs!$A:$B,2,0),U187,1),"")</f>
        <v>G</v>
      </c>
      <c r="U187" s="3">
        <v>97</v>
      </c>
      <c r="V187" s="3" t="str">
        <f>IFERROR(MID(VLOOKUP($B187,Seqs!$A:$B,2,0),W187,1),"")</f>
        <v>H</v>
      </c>
      <c r="W187" s="3">
        <v>132</v>
      </c>
      <c r="X187" s="3" t="str">
        <f>IFERROR(MID(VLOOKUP($B187,Seqs!$A:$B,2,0),Y187,1),"")</f>
        <v>A</v>
      </c>
      <c r="Y187" s="3">
        <v>133</v>
      </c>
      <c r="Z187" s="3" t="str">
        <f>IFERROR(MID(VLOOKUP($B187,Seqs!$A:$B,2,0),AA187,1),"")</f>
        <v>R</v>
      </c>
      <c r="AA187" s="3">
        <v>140</v>
      </c>
      <c r="AB187" s="3" t="str">
        <f>IFERROR(MID(VLOOKUP($B187,Seqs!$A:$B,2,0),AC187,1),"")</f>
        <v>T</v>
      </c>
      <c r="AC187" s="9">
        <v>141</v>
      </c>
      <c r="AD187" s="3" t="str">
        <f>IFERROR(MID(VLOOKUP($B187,Seqs!$A:$B,2,0),AE187,1),"")</f>
        <v>T</v>
      </c>
      <c r="AE187" s="3">
        <v>167</v>
      </c>
      <c r="AF187" s="3" t="str">
        <f>IFERROR(MID(VLOOKUP($B187,Seqs!$A:$B,2,0),AG187,1),"")</f>
        <v>C</v>
      </c>
      <c r="AG187" s="3">
        <v>178</v>
      </c>
      <c r="AH187" s="3" t="str">
        <f>IFERROR(MID(VLOOKUP($B187,Seqs!$A:$B,2,0),AI187,1),"")</f>
        <v>S</v>
      </c>
      <c r="AI187" s="3">
        <v>180</v>
      </c>
      <c r="AJ187" s="3" t="str">
        <f>IFERROR(MID(VLOOKUP($B187,Seqs!$A:$B,2,0),AK187,1),"")</f>
        <v>Q</v>
      </c>
      <c r="AK187" s="3">
        <v>186</v>
      </c>
      <c r="AL187" s="3" t="str">
        <f>IFERROR(MID(VLOOKUP($B187,Seqs!$A:$B,2,0),AM187,1),"")</f>
        <v>C</v>
      </c>
      <c r="AM187" s="3">
        <v>224</v>
      </c>
      <c r="AN187" s="3" t="str">
        <f>IFERROR(MID(VLOOKUP($B187,Seqs!$A:$B,2,0),AO187,1),"")</f>
        <v>K</v>
      </c>
      <c r="AO187" s="3">
        <v>228</v>
      </c>
      <c r="AP187" s="3" t="str">
        <f>IFERROR(MID(VLOOKUP($B187,Seqs!$A:$B,2,0),AQ187,1),"")</f>
        <v>G</v>
      </c>
      <c r="AQ187" s="3">
        <v>265</v>
      </c>
      <c r="AR187" s="3" t="str">
        <f>IFERROR(MID(VLOOKUP($B187,Seqs!$A:$B,2,0),AS187,1),"")</f>
        <v>N</v>
      </c>
      <c r="AS187" s="3">
        <v>268</v>
      </c>
      <c r="AT187" s="3" t="str">
        <f>IFERROR(MID(VLOOKUP($B187,Seqs!$A:$B,2,0),AU187,1),"")</f>
        <v>V</v>
      </c>
      <c r="AU187" s="3">
        <v>300</v>
      </c>
      <c r="AV187" s="3" t="str">
        <f>IFERROR(MID(VLOOKUP($B187,Seqs!$A:$B,2,0),AW187,1),"")</f>
        <v>G</v>
      </c>
      <c r="AW187" s="3">
        <v>301</v>
      </c>
      <c r="AX187" s="3" t="str">
        <f>IFERROR(MID(VLOOKUP($B187,Seqs!$A:$B,2,0),AY187,1),"")</f>
        <v>Q</v>
      </c>
      <c r="AY187" s="3">
        <v>313</v>
      </c>
      <c r="AZ187" s="77" t="str">
        <f>VLOOKUP(B187,Classification!A:D,2,0)</f>
        <v>A</v>
      </c>
      <c r="BA187" s="94" t="str">
        <f>VLOOKUP(B187,Classification!A:D,4,0)</f>
        <v>Chemokine</v>
      </c>
      <c r="BB187" s="27" t="b">
        <f t="shared" si="1232"/>
        <v>1</v>
      </c>
      <c r="BC187" s="23">
        <f t="shared" si="981"/>
        <v>272</v>
      </c>
      <c r="BD187" s="34" t="s">
        <v>23</v>
      </c>
      <c r="BE187" s="3" t="s">
        <v>23</v>
      </c>
      <c r="BF187" s="118" t="s">
        <v>23</v>
      </c>
      <c r="BG187" s="49" t="s">
        <v>1368</v>
      </c>
      <c r="BH187" s="49" t="s">
        <v>1373</v>
      </c>
      <c r="BI187" s="1"/>
      <c r="BJ187" s="70" t="s">
        <v>1283</v>
      </c>
      <c r="BK187" s="57" t="s">
        <v>1283</v>
      </c>
      <c r="BL187" s="57" t="s">
        <v>1283</v>
      </c>
      <c r="BM187" s="57" t="s">
        <v>1283</v>
      </c>
      <c r="BN187" s="57" t="s">
        <v>1283</v>
      </c>
      <c r="BO187" s="57" t="s">
        <v>1283</v>
      </c>
      <c r="BP187" s="57" t="s">
        <v>1283</v>
      </c>
      <c r="BQ187" s="57" t="s">
        <v>1283</v>
      </c>
      <c r="BR187" s="57" t="s">
        <v>1283</v>
      </c>
      <c r="BS187" s="57" t="s">
        <v>1283</v>
      </c>
      <c r="BT187" s="57" t="s">
        <v>1283</v>
      </c>
      <c r="BU187" s="57" t="s">
        <v>1283</v>
      </c>
      <c r="BV187" s="70">
        <f t="shared" si="982"/>
        <v>22</v>
      </c>
      <c r="BW187" s="71">
        <f t="shared" si="983"/>
        <v>59</v>
      </c>
      <c r="BX187" s="72">
        <f t="shared" si="984"/>
        <v>63</v>
      </c>
      <c r="BY187" s="71">
        <f t="shared" si="985"/>
        <v>93</v>
      </c>
      <c r="BZ187" s="72">
        <f t="shared" si="986"/>
        <v>97</v>
      </c>
      <c r="CA187" s="71">
        <f t="shared" si="987"/>
        <v>133</v>
      </c>
      <c r="CB187" s="72">
        <f t="shared" si="988"/>
        <v>141</v>
      </c>
      <c r="CC187" s="71">
        <f t="shared" si="989"/>
        <v>178</v>
      </c>
      <c r="CD187" s="72">
        <f t="shared" si="990"/>
        <v>186</v>
      </c>
      <c r="CE187" s="71">
        <f t="shared" si="991"/>
        <v>228</v>
      </c>
      <c r="CF187" s="72">
        <f t="shared" si="992"/>
        <v>268</v>
      </c>
      <c r="CG187" s="71">
        <f t="shared" si="993"/>
        <v>301</v>
      </c>
      <c r="CH187" s="70">
        <f t="shared" si="994"/>
        <v>58</v>
      </c>
      <c r="CI187" s="71">
        <f t="shared" si="995"/>
        <v>62</v>
      </c>
      <c r="CJ187" s="72">
        <f t="shared" si="996"/>
        <v>92</v>
      </c>
      <c r="CK187" s="72">
        <f t="shared" si="997"/>
        <v>96</v>
      </c>
      <c r="CL187" s="72">
        <f t="shared" si="998"/>
        <v>132</v>
      </c>
      <c r="CM187" s="72">
        <f t="shared" si="999"/>
        <v>140</v>
      </c>
      <c r="CN187" s="72">
        <f t="shared" si="1000"/>
        <v>167</v>
      </c>
      <c r="CO187" s="72">
        <f t="shared" si="1001"/>
        <v>180</v>
      </c>
      <c r="CP187" s="72">
        <f t="shared" si="1002"/>
        <v>224</v>
      </c>
      <c r="CQ187" s="72">
        <f t="shared" si="1003"/>
        <v>265</v>
      </c>
      <c r="CR187" s="72">
        <f t="shared" si="1004"/>
        <v>300</v>
      </c>
      <c r="CS187" s="72">
        <f t="shared" si="1005"/>
        <v>313</v>
      </c>
      <c r="CT187" s="23">
        <f t="shared" si="1006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1231"/>
        <v>ccr5_human_4MBS</v>
      </c>
      <c r="B188" s="3" t="s">
        <v>173</v>
      </c>
      <c r="C188" s="3" t="s">
        <v>74</v>
      </c>
      <c r="D188" s="3" t="str">
        <f>IFERROR(MID(VLOOKUP($B188,Seqs!$A:$B,2,0),E188,1),"")</f>
        <v>V</v>
      </c>
      <c r="E188" s="3">
        <v>25</v>
      </c>
      <c r="F188" s="3" t="str">
        <f>IFERROR(MID(VLOOKUP($B188,Seqs!$A:$B,2,0),G188,1),"")</f>
        <v>C</v>
      </c>
      <c r="G188" s="3">
        <v>58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S</v>
      </c>
      <c r="M188" s="3">
        <v>63</v>
      </c>
      <c r="N188" s="3" t="str">
        <f>IFERROR(MID(VLOOKUP($B188,Seqs!$A:$B,2,0),O188,1),"")</f>
        <v>A</v>
      </c>
      <c r="O188" s="3">
        <v>92</v>
      </c>
      <c r="P188" s="3" t="str">
        <f>IFERROR(MID(VLOOKUP($B188,Seqs!$A:$B,2,0),Q188,1),"")</f>
        <v>Q</v>
      </c>
      <c r="Q188" s="3">
        <v>93</v>
      </c>
      <c r="R188" s="3" t="str">
        <f>IFERROR(MID(VLOOKUP($B188,Seqs!$A:$B,2,0),S188,1),"")</f>
        <v>F</v>
      </c>
      <c r="S188" s="3">
        <v>96</v>
      </c>
      <c r="T188" s="3" t="str">
        <f>IFERROR(MID(VLOOKUP($B188,Seqs!$A:$B,2,0),U188,1),"")</f>
        <v>G</v>
      </c>
      <c r="U188" s="3">
        <v>97</v>
      </c>
      <c r="V188" s="3" t="str">
        <f>IFERROR(MID(VLOOKUP($B188,Seqs!$A:$B,2,0),W188,1),"")</f>
        <v>H</v>
      </c>
      <c r="W188" s="3">
        <v>132</v>
      </c>
      <c r="X188" s="3" t="str">
        <f>IFERROR(MID(VLOOKUP($B188,Seqs!$A:$B,2,0),Y188,1),"")</f>
        <v>A</v>
      </c>
      <c r="Y188" s="3">
        <v>133</v>
      </c>
      <c r="Z188" s="3" t="str">
        <f>IFERROR(MID(VLOOKUP($B188,Seqs!$A:$B,2,0),AA188,1),"")</f>
        <v>R</v>
      </c>
      <c r="AA188" s="3">
        <v>140</v>
      </c>
      <c r="AB188" s="3" t="str">
        <f>IFERROR(MID(VLOOKUP($B188,Seqs!$A:$B,2,0),AC188,1),"")</f>
        <v>T</v>
      </c>
      <c r="AC188" s="9">
        <v>141</v>
      </c>
      <c r="AD188" s="3" t="str">
        <f>IFERROR(MID(VLOOKUP($B188,Seqs!$A:$B,2,0),AE188,1),"")</f>
        <v>T</v>
      </c>
      <c r="AE188" s="3">
        <v>167</v>
      </c>
      <c r="AF188" s="3" t="str">
        <f>IFERROR(MID(VLOOKUP($B188,Seqs!$A:$B,2,0),AG188,1),"")</f>
        <v>C</v>
      </c>
      <c r="AG188" s="3">
        <v>178</v>
      </c>
      <c r="AH188" s="3" t="str">
        <f>IFERROR(MID(VLOOKUP($B188,Seqs!$A:$B,2,0),AI188,1),"")</f>
        <v>S</v>
      </c>
      <c r="AI188" s="3">
        <v>180</v>
      </c>
      <c r="AJ188" s="3" t="str">
        <f>IFERROR(MID(VLOOKUP($B188,Seqs!$A:$B,2,0),AK188,1),"")</f>
        <v>Q</v>
      </c>
      <c r="AK188" s="3">
        <v>186</v>
      </c>
      <c r="AL188" s="3" t="str">
        <f>IFERROR(MID(VLOOKUP($B188,Seqs!$A:$B,2,0),AM188,1),"")</f>
        <v>R</v>
      </c>
      <c r="AM188" s="3">
        <v>223</v>
      </c>
      <c r="AN188" s="3" t="str">
        <f>IFERROR(MID(VLOOKUP($B188,Seqs!$A:$B,2,0),AO188,1),"")</f>
        <v>K</v>
      </c>
      <c r="AO188" s="3">
        <v>228</v>
      </c>
      <c r="AP188" s="3" t="str">
        <f>IFERROR(MID(VLOOKUP($B188,Seqs!$A:$B,2,0),AQ188,1),"")</f>
        <v>G</v>
      </c>
      <c r="AQ188" s="3">
        <v>265</v>
      </c>
      <c r="AR188" s="3" t="str">
        <f>IFERROR(MID(VLOOKUP($B188,Seqs!$A:$B,2,0),AS188,1),"")</f>
        <v>N</v>
      </c>
      <c r="AS188" s="3">
        <v>268</v>
      </c>
      <c r="AT188" s="3" t="str">
        <f>IFERROR(MID(VLOOKUP($B188,Seqs!$A:$B,2,0),AU188,1),"")</f>
        <v>V</v>
      </c>
      <c r="AU188" s="3">
        <v>300</v>
      </c>
      <c r="AV188" s="3" t="str">
        <f>IFERROR(MID(VLOOKUP($B188,Seqs!$A:$B,2,0),AW188,1),"")</f>
        <v>G</v>
      </c>
      <c r="AW188" s="3">
        <v>301</v>
      </c>
      <c r="AX188" s="3" t="str">
        <f>IFERROR(MID(VLOOKUP($B188,Seqs!$A:$B,2,0),AY188,1),"")</f>
        <v>Q</v>
      </c>
      <c r="AY188" s="3">
        <v>313</v>
      </c>
      <c r="AZ188" s="77" t="str">
        <f>VLOOKUP(B188,Classification!A:D,2,0)</f>
        <v>A</v>
      </c>
      <c r="BA188" s="94" t="str">
        <f>VLOOKUP(B188,Classification!A:D,4,0)</f>
        <v>Chemokine</v>
      </c>
      <c r="BB188" s="27" t="b">
        <f t="shared" si="1232"/>
        <v>1</v>
      </c>
      <c r="BC188" s="23">
        <f t="shared" si="981"/>
        <v>265</v>
      </c>
      <c r="BD188" s="2" t="s">
        <v>23</v>
      </c>
      <c r="BE188" s="3" t="s">
        <v>1370</v>
      </c>
      <c r="BF188" s="118">
        <v>2.71</v>
      </c>
      <c r="BG188" s="49" t="s">
        <v>1373</v>
      </c>
      <c r="BH188" s="49" t="s">
        <v>1373</v>
      </c>
      <c r="BI188" s="1"/>
      <c r="BJ188" s="70" t="s">
        <v>1283</v>
      </c>
      <c r="BK188" s="57" t="s">
        <v>1283</v>
      </c>
      <c r="BL188" s="57" t="s">
        <v>1283</v>
      </c>
      <c r="BM188" s="57" t="s">
        <v>1283</v>
      </c>
      <c r="BN188" s="57" t="s">
        <v>1283</v>
      </c>
      <c r="BO188" s="57" t="s">
        <v>1283</v>
      </c>
      <c r="BP188" s="57" t="s">
        <v>1283</v>
      </c>
      <c r="BQ188" s="57" t="s">
        <v>1283</v>
      </c>
      <c r="BR188" s="57" t="s">
        <v>1283</v>
      </c>
      <c r="BS188" s="57" t="s">
        <v>1283</v>
      </c>
      <c r="BT188" s="57" t="s">
        <v>1283</v>
      </c>
      <c r="BU188" s="57" t="s">
        <v>1283</v>
      </c>
      <c r="BV188" s="70">
        <f t="shared" si="982"/>
        <v>25</v>
      </c>
      <c r="BW188" s="71" t="str">
        <f t="shared" si="983"/>
        <v>-</v>
      </c>
      <c r="BX188" s="72">
        <f t="shared" si="984"/>
        <v>63</v>
      </c>
      <c r="BY188" s="71">
        <f t="shared" si="985"/>
        <v>93</v>
      </c>
      <c r="BZ188" s="72">
        <f t="shared" si="986"/>
        <v>97</v>
      </c>
      <c r="CA188" s="71">
        <f t="shared" si="987"/>
        <v>133</v>
      </c>
      <c r="CB188" s="72">
        <f t="shared" si="988"/>
        <v>141</v>
      </c>
      <c r="CC188" s="71">
        <f t="shared" si="989"/>
        <v>178</v>
      </c>
      <c r="CD188" s="72">
        <f t="shared" si="990"/>
        <v>186</v>
      </c>
      <c r="CE188" s="71">
        <f t="shared" si="991"/>
        <v>228</v>
      </c>
      <c r="CF188" s="72">
        <f t="shared" si="992"/>
        <v>268</v>
      </c>
      <c r="CG188" s="71">
        <f t="shared" si="993"/>
        <v>301</v>
      </c>
      <c r="CH188" s="70">
        <f t="shared" si="994"/>
        <v>58</v>
      </c>
      <c r="CI188" s="71" t="str">
        <f t="shared" si="995"/>
        <v>-</v>
      </c>
      <c r="CJ188" s="72">
        <f t="shared" si="996"/>
        <v>92</v>
      </c>
      <c r="CK188" s="72">
        <f t="shared" si="997"/>
        <v>96</v>
      </c>
      <c r="CL188" s="72">
        <f t="shared" si="998"/>
        <v>132</v>
      </c>
      <c r="CM188" s="72">
        <f t="shared" si="999"/>
        <v>140</v>
      </c>
      <c r="CN188" s="72">
        <f t="shared" si="1000"/>
        <v>167</v>
      </c>
      <c r="CO188" s="72">
        <f t="shared" si="1001"/>
        <v>180</v>
      </c>
      <c r="CP188" s="72">
        <f t="shared" si="1002"/>
        <v>223</v>
      </c>
      <c r="CQ188" s="72">
        <f t="shared" si="1003"/>
        <v>265</v>
      </c>
      <c r="CR188" s="72">
        <f t="shared" si="1004"/>
        <v>300</v>
      </c>
      <c r="CS188" s="72">
        <f t="shared" si="1005"/>
        <v>313</v>
      </c>
      <c r="CT188" s="23" t="e">
        <f t="shared" si="1006"/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>CONCATENATE(B189,"_",C189)</f>
        <v>ccr5_human_5UIW</v>
      </c>
      <c r="B189" s="3" t="s">
        <v>173</v>
      </c>
      <c r="C189" s="3" t="s">
        <v>1419</v>
      </c>
      <c r="D189" s="3" t="str">
        <f>IFERROR(MID(VLOOKUP($B189,Seqs!$A:$B,2,0),E189,1),"")</f>
        <v>K</v>
      </c>
      <c r="E189" s="3">
        <v>22</v>
      </c>
      <c r="F189" s="3" t="str">
        <f>IFERROR(MID(VLOOKUP($B189,Seqs!$A:$B,2,0),G189,1),"")</f>
        <v>C</v>
      </c>
      <c r="G189" s="3">
        <v>58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S</v>
      </c>
      <c r="M189" s="3">
        <v>63</v>
      </c>
      <c r="N189" s="3" t="str">
        <f>IFERROR(MID(VLOOKUP($B189,Seqs!$A:$B,2,0),O189,1),"")</f>
        <v>A</v>
      </c>
      <c r="O189" s="3">
        <v>92</v>
      </c>
      <c r="P189" s="3" t="str">
        <f>IFERROR(MID(VLOOKUP($B189,Seqs!$A:$B,2,0),Q189,1),"")</f>
        <v>Q</v>
      </c>
      <c r="Q189" s="3">
        <v>93</v>
      </c>
      <c r="R189" s="3" t="str">
        <f>IFERROR(MID(VLOOKUP($B189,Seqs!$A:$B,2,0),S189,1),"")</f>
        <v>F</v>
      </c>
      <c r="S189" s="3">
        <v>96</v>
      </c>
      <c r="T189" s="3" t="str">
        <f>IFERROR(MID(VLOOKUP($B189,Seqs!$A:$B,2,0),U189,1),"")</f>
        <v>G</v>
      </c>
      <c r="U189" s="3">
        <v>97</v>
      </c>
      <c r="V189" s="3" t="str">
        <f>IFERROR(MID(VLOOKUP($B189,Seqs!$A:$B,2,0),W189,1),"")</f>
        <v>H</v>
      </c>
      <c r="W189" s="3">
        <v>132</v>
      </c>
      <c r="X189" s="3" t="str">
        <f>IFERROR(MID(VLOOKUP($B189,Seqs!$A:$B,2,0),Y189,1),"")</f>
        <v>A</v>
      </c>
      <c r="Y189" s="3">
        <v>133</v>
      </c>
      <c r="Z189" s="3" t="str">
        <f>IFERROR(MID(VLOOKUP($B189,Seqs!$A:$B,2,0),AA189,1),"")</f>
        <v>R</v>
      </c>
      <c r="AA189" s="3">
        <v>140</v>
      </c>
      <c r="AB189" s="3" t="str">
        <f>IFERROR(MID(VLOOKUP($B189,Seqs!$A:$B,2,0),AC189,1),"")</f>
        <v>T</v>
      </c>
      <c r="AC189" s="3">
        <v>141</v>
      </c>
      <c r="AD189" s="3" t="str">
        <f>IFERROR(MID(VLOOKUP($B189,Seqs!$A:$B,2,0),AE189,1),"")</f>
        <v>T</v>
      </c>
      <c r="AE189" s="3">
        <v>167</v>
      </c>
      <c r="AF189" s="3" t="str">
        <f>IFERROR(MID(VLOOKUP($B189,Seqs!$A:$B,2,0),AG189,1),"")</f>
        <v>C</v>
      </c>
      <c r="AG189" s="3">
        <v>178</v>
      </c>
      <c r="AH189" s="3" t="str">
        <f>IFERROR(MID(VLOOKUP($B189,Seqs!$A:$B,2,0),AI189,1),"")</f>
        <v>S</v>
      </c>
      <c r="AI189" s="3">
        <v>180</v>
      </c>
      <c r="AJ189" s="3" t="str">
        <f>IFERROR(MID(VLOOKUP($B189,Seqs!$A:$B,2,0),AK189,1),"")</f>
        <v>Q</v>
      </c>
      <c r="AK189" s="3">
        <v>186</v>
      </c>
      <c r="AL189" s="3" t="str">
        <f>IFERROR(MID(VLOOKUP($B189,Seqs!$A:$B,2,0),AM189,1),"")</f>
        <v>R</v>
      </c>
      <c r="AM189" s="3">
        <v>223</v>
      </c>
      <c r="AN189" s="3" t="str">
        <f>IFERROR(MID(VLOOKUP($B189,Seqs!$A:$B,2,0),AO189,1),"")</f>
        <v>E</v>
      </c>
      <c r="AO189" s="3">
        <v>227</v>
      </c>
      <c r="AP189" s="3" t="str">
        <f>IFERROR(MID(VLOOKUP($B189,Seqs!$A:$B,2,0),AQ189,1),"")</f>
        <v>Q</v>
      </c>
      <c r="AQ189" s="3">
        <v>261</v>
      </c>
      <c r="AR189" s="3" t="str">
        <f>IFERROR(MID(VLOOKUP($B189,Seqs!$A:$B,2,0),AS189,1),"")</f>
        <v>N</v>
      </c>
      <c r="AS189" s="3">
        <v>268</v>
      </c>
      <c r="AT189" s="3" t="str">
        <f>IFERROR(MID(VLOOKUP($B189,Seqs!$A:$B,2,0),AU189,1),"")</f>
        <v>V</v>
      </c>
      <c r="AU189" s="3">
        <v>300</v>
      </c>
      <c r="AV189" s="3" t="str">
        <f>IFERROR(MID(VLOOKUP($B189,Seqs!$A:$B,2,0),AW189,1),"")</f>
        <v>G</v>
      </c>
      <c r="AW189" s="3">
        <v>301</v>
      </c>
      <c r="AX189" s="3" t="str">
        <f>IFERROR(MID(VLOOKUP($B189,Seqs!$A:$B,2,0),AY189,1),"")</f>
        <v>I</v>
      </c>
      <c r="AY189" s="3">
        <v>316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268</v>
      </c>
      <c r="BD189" s="2" t="s">
        <v>1372</v>
      </c>
      <c r="BE189" s="3" t="s">
        <v>1370</v>
      </c>
      <c r="BF189" s="118">
        <v>2.2000000000000002</v>
      </c>
      <c r="BG189" s="49" t="s">
        <v>1373</v>
      </c>
      <c r="BH189" s="49" t="s">
        <v>1373</v>
      </c>
      <c r="BI189" s="1"/>
      <c r="BJ189" s="70" t="s">
        <v>1283</v>
      </c>
      <c r="BK189" s="57" t="s">
        <v>1283</v>
      </c>
      <c r="BL189" s="57" t="s">
        <v>1283</v>
      </c>
      <c r="BM189" s="57" t="s">
        <v>1283</v>
      </c>
      <c r="BN189" s="57" t="s">
        <v>1283</v>
      </c>
      <c r="BO189" s="57" t="s">
        <v>1283</v>
      </c>
      <c r="BP189" s="57" t="s">
        <v>1283</v>
      </c>
      <c r="BQ189" s="57" t="s">
        <v>1283</v>
      </c>
      <c r="BR189" s="57" t="s">
        <v>1283</v>
      </c>
      <c r="BS189" s="57" t="s">
        <v>1283</v>
      </c>
      <c r="BT189" s="57" t="s">
        <v>1283</v>
      </c>
      <c r="BU189" s="57" t="s">
        <v>1283</v>
      </c>
      <c r="BV189" s="70">
        <f>E189</f>
        <v>22</v>
      </c>
      <c r="BW189" s="71" t="str">
        <f>I189</f>
        <v>-</v>
      </c>
      <c r="BX189" s="72">
        <f>M189</f>
        <v>63</v>
      </c>
      <c r="BY189" s="71">
        <f>Q189</f>
        <v>93</v>
      </c>
      <c r="BZ189" s="72">
        <f>U189</f>
        <v>97</v>
      </c>
      <c r="CA189" s="71">
        <f>Y189</f>
        <v>133</v>
      </c>
      <c r="CB189" s="72">
        <f>AC189</f>
        <v>141</v>
      </c>
      <c r="CC189" s="71">
        <f>AG189</f>
        <v>178</v>
      </c>
      <c r="CD189" s="72">
        <f>AK189</f>
        <v>186</v>
      </c>
      <c r="CE189" s="71">
        <f>AO189</f>
        <v>227</v>
      </c>
      <c r="CF189" s="72">
        <f>AS189</f>
        <v>268</v>
      </c>
      <c r="CG189" s="71">
        <f>AW189</f>
        <v>301</v>
      </c>
      <c r="CH189" s="70">
        <f>G189</f>
        <v>58</v>
      </c>
      <c r="CI189" s="71" t="str">
        <f>K189</f>
        <v>-</v>
      </c>
      <c r="CJ189" s="72">
        <f>O189</f>
        <v>92</v>
      </c>
      <c r="CK189" s="72">
        <f>S189</f>
        <v>96</v>
      </c>
      <c r="CL189" s="72">
        <f>W189</f>
        <v>132</v>
      </c>
      <c r="CM189" s="72">
        <f>AA189</f>
        <v>140</v>
      </c>
      <c r="CN189" s="72">
        <f>AE189</f>
        <v>167</v>
      </c>
      <c r="CO189" s="72">
        <f>AI189</f>
        <v>180</v>
      </c>
      <c r="CP189" s="72">
        <f>AM189</f>
        <v>223</v>
      </c>
      <c r="CQ189" s="72">
        <f>AQ189</f>
        <v>261</v>
      </c>
      <c r="CR189" s="72">
        <f>AU189</f>
        <v>300</v>
      </c>
      <c r="CS189" s="72">
        <f>AY189</f>
        <v>316</v>
      </c>
      <c r="CT189" s="23" t="e">
        <f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>CONCATENATE(B190,"_",C190)</f>
        <v>ccr5_human_6AKX</v>
      </c>
      <c r="B190" s="3" t="s">
        <v>173</v>
      </c>
      <c r="C190" s="3" t="s">
        <v>1520</v>
      </c>
      <c r="D190" s="3" t="str">
        <f>IFERROR(MID(VLOOKUP($B190,Seqs!$A:$B,2,0),E190,1),"")</f>
        <v>V</v>
      </c>
      <c r="E190" s="3">
        <v>25</v>
      </c>
      <c r="F190" s="3" t="str">
        <f>IFERROR(MID(VLOOKUP($B190,Seqs!$A:$B,2,0),G190,1),"")</f>
        <v>C</v>
      </c>
      <c r="G190" s="3">
        <v>58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S</v>
      </c>
      <c r="M190" s="3">
        <v>63</v>
      </c>
      <c r="N190" s="3" t="str">
        <f>IFERROR(MID(VLOOKUP($B190,Seqs!$A:$B,2,0),O190,1),"")</f>
        <v>A</v>
      </c>
      <c r="O190" s="3">
        <v>92</v>
      </c>
      <c r="P190" s="3" t="str">
        <f>IFERROR(MID(VLOOKUP($B190,Seqs!$A:$B,2,0),Q190,1),"")</f>
        <v>Q</v>
      </c>
      <c r="Q190" s="3">
        <v>93</v>
      </c>
      <c r="R190" s="3" t="str">
        <f>IFERROR(MID(VLOOKUP($B190,Seqs!$A:$B,2,0),S190,1),"")</f>
        <v>F</v>
      </c>
      <c r="S190" s="3">
        <v>96</v>
      </c>
      <c r="T190" s="3" t="str">
        <f>IFERROR(MID(VLOOKUP($B190,Seqs!$A:$B,2,0),U190,1),"")</f>
        <v>G</v>
      </c>
      <c r="U190" s="3">
        <v>97</v>
      </c>
      <c r="V190" s="3" t="str">
        <f>IFERROR(MID(VLOOKUP($B190,Seqs!$A:$B,2,0),W190,1),"")</f>
        <v>H</v>
      </c>
      <c r="W190" s="3">
        <v>132</v>
      </c>
      <c r="X190" s="3" t="str">
        <f>IFERROR(MID(VLOOKUP($B190,Seqs!$A:$B,2,0),Y190,1),"")</f>
        <v>A</v>
      </c>
      <c r="Y190" s="3">
        <v>133</v>
      </c>
      <c r="Z190" s="3" t="str">
        <f>IFERROR(MID(VLOOKUP($B190,Seqs!$A:$B,2,0),AA190,1),"")</f>
        <v>R</v>
      </c>
      <c r="AA190" s="3">
        <v>140</v>
      </c>
      <c r="AB190" s="3" t="str">
        <f>IFERROR(MID(VLOOKUP($B190,Seqs!$A:$B,2,0),AC190,1),"")</f>
        <v>T</v>
      </c>
      <c r="AC190" s="3">
        <v>141</v>
      </c>
      <c r="AD190" s="3" t="str">
        <f>IFERROR(MID(VLOOKUP($B190,Seqs!$A:$B,2,0),AE190,1),"")</f>
        <v>T</v>
      </c>
      <c r="AE190" s="3">
        <v>167</v>
      </c>
      <c r="AF190" s="3" t="str">
        <f>IFERROR(MID(VLOOKUP($B190,Seqs!$A:$B,2,0),AG190,1),"")</f>
        <v>C</v>
      </c>
      <c r="AG190" s="3">
        <v>178</v>
      </c>
      <c r="AH190" s="3" t="str">
        <f>IFERROR(MID(VLOOKUP($B190,Seqs!$A:$B,2,0),AI190,1),"")</f>
        <v>S</v>
      </c>
      <c r="AI190" s="3">
        <v>180</v>
      </c>
      <c r="AJ190" s="3" t="str">
        <f>IFERROR(MID(VLOOKUP($B190,Seqs!$A:$B,2,0),AK190,1),"")</f>
        <v>Q</v>
      </c>
      <c r="AK190" s="3">
        <v>186</v>
      </c>
      <c r="AL190" s="3" t="str">
        <f>IFERROR(MID(VLOOKUP($B190,Seqs!$A:$B,2,0),AM190,1),"")</f>
        <v>R</v>
      </c>
      <c r="AM190" s="3">
        <v>223</v>
      </c>
      <c r="AN190" s="3" t="str">
        <f>IFERROR(MID(VLOOKUP($B190,Seqs!$A:$B,2,0),AO190,1),"")</f>
        <v>K</v>
      </c>
      <c r="AO190" s="3">
        <v>228</v>
      </c>
      <c r="AP190" s="3" t="str">
        <f>IFERROR(MID(VLOOKUP($B190,Seqs!$A:$B,2,0),AQ190,1),"")</f>
        <v>G</v>
      </c>
      <c r="AQ190" s="3">
        <v>265</v>
      </c>
      <c r="AR190" s="3" t="str">
        <f>IFERROR(MID(VLOOKUP($B190,Seqs!$A:$B,2,0),AS190,1),"")</f>
        <v>N</v>
      </c>
      <c r="AS190" s="3">
        <v>268</v>
      </c>
      <c r="AT190" s="3" t="str">
        <f>IFERROR(MID(VLOOKUP($B190,Seqs!$A:$B,2,0),AU190,1),"")</f>
        <v>V</v>
      </c>
      <c r="AU190" s="3">
        <v>300</v>
      </c>
      <c r="AV190" s="3" t="str">
        <f>IFERROR(MID(VLOOKUP($B190,Seqs!$A:$B,2,0),AW190,1),"")</f>
        <v>G</v>
      </c>
      <c r="AW190" s="3">
        <v>301</v>
      </c>
      <c r="AX190" s="3" t="str">
        <f>IFERROR(MID(VLOOKUP($B190,Seqs!$A:$B,2,0),AY190,1),"")</f>
        <v>Q</v>
      </c>
      <c r="AY190" s="3">
        <v>313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265</v>
      </c>
      <c r="BD190" s="2" t="s">
        <v>23</v>
      </c>
      <c r="BE190" s="3" t="s">
        <v>1370</v>
      </c>
      <c r="BF190" s="118">
        <v>2.8</v>
      </c>
      <c r="BG190" s="49" t="s">
        <v>1277</v>
      </c>
      <c r="BH190" s="49" t="s">
        <v>1277</v>
      </c>
      <c r="BI190" s="1"/>
      <c r="BJ190" s="70" t="s">
        <v>1283</v>
      </c>
      <c r="BK190" s="57" t="s">
        <v>1283</v>
      </c>
      <c r="BL190" s="57" t="s">
        <v>1283</v>
      </c>
      <c r="BM190" s="57" t="s">
        <v>1283</v>
      </c>
      <c r="BN190" s="57" t="s">
        <v>1283</v>
      </c>
      <c r="BO190" s="57" t="s">
        <v>1283</v>
      </c>
      <c r="BP190" s="57" t="s">
        <v>1283</v>
      </c>
      <c r="BQ190" s="57" t="s">
        <v>1283</v>
      </c>
      <c r="BR190" s="57" t="s">
        <v>1283</v>
      </c>
      <c r="BS190" s="57" t="s">
        <v>1283</v>
      </c>
      <c r="BT190" s="57" t="s">
        <v>1283</v>
      </c>
      <c r="BU190" s="57" t="s">
        <v>1283</v>
      </c>
      <c r="BV190" s="70">
        <f>E190</f>
        <v>25</v>
      </c>
      <c r="BW190" s="71" t="str">
        <f>I190</f>
        <v>-</v>
      </c>
      <c r="BX190" s="72">
        <f>M190</f>
        <v>63</v>
      </c>
      <c r="BY190" s="71">
        <f>Q190</f>
        <v>93</v>
      </c>
      <c r="BZ190" s="72">
        <f>U190</f>
        <v>97</v>
      </c>
      <c r="CA190" s="71">
        <f>Y190</f>
        <v>133</v>
      </c>
      <c r="CB190" s="72">
        <f>AC190</f>
        <v>141</v>
      </c>
      <c r="CC190" s="71">
        <f>AG190</f>
        <v>178</v>
      </c>
      <c r="CD190" s="72">
        <f>AK190</f>
        <v>186</v>
      </c>
      <c r="CE190" s="71">
        <f>AO190</f>
        <v>228</v>
      </c>
      <c r="CF190" s="72">
        <f>AS190</f>
        <v>268</v>
      </c>
      <c r="CG190" s="71">
        <f>AW190</f>
        <v>301</v>
      </c>
      <c r="CH190" s="70">
        <f>G190</f>
        <v>58</v>
      </c>
      <c r="CI190" s="71" t="str">
        <f>K190</f>
        <v>-</v>
      </c>
      <c r="CJ190" s="72">
        <f>O190</f>
        <v>92</v>
      </c>
      <c r="CK190" s="72">
        <f>S190</f>
        <v>96</v>
      </c>
      <c r="CL190" s="72">
        <f>W190</f>
        <v>132</v>
      </c>
      <c r="CM190" s="72">
        <f>AA190</f>
        <v>140</v>
      </c>
      <c r="CN190" s="72">
        <f>AE190</f>
        <v>167</v>
      </c>
      <c r="CO190" s="72">
        <f>AI190</f>
        <v>180</v>
      </c>
      <c r="CP190" s="72">
        <f>AM190</f>
        <v>223</v>
      </c>
      <c r="CQ190" s="72">
        <f>AQ190</f>
        <v>265</v>
      </c>
      <c r="CR190" s="72">
        <f>AU190</f>
        <v>300</v>
      </c>
      <c r="CS190" s="72">
        <f>AY190</f>
        <v>313</v>
      </c>
      <c r="CT190" s="23" t="e">
        <f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>CONCATENATE(B191,"_",C191)</f>
        <v>ccr5_human_6AKY</v>
      </c>
      <c r="B191" s="3" t="s">
        <v>173</v>
      </c>
      <c r="C191" s="3" t="s">
        <v>1521</v>
      </c>
      <c r="D191" s="3" t="str">
        <f>IFERROR(MID(VLOOKUP($B191,Seqs!$A:$B,2,0),E191,1),"")</f>
        <v>V</v>
      </c>
      <c r="E191" s="3">
        <v>25</v>
      </c>
      <c r="F191" s="3" t="str">
        <f>IFERROR(MID(VLOOKUP($B191,Seqs!$A:$B,2,0),G191,1),"")</f>
        <v>C</v>
      </c>
      <c r="G191" s="3">
        <v>58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S</v>
      </c>
      <c r="M191" s="3">
        <v>63</v>
      </c>
      <c r="N191" s="3" t="str">
        <f>IFERROR(MID(VLOOKUP($B191,Seqs!$A:$B,2,0),O191,1),"")</f>
        <v>A</v>
      </c>
      <c r="O191" s="3">
        <v>92</v>
      </c>
      <c r="P191" s="3" t="str">
        <f>IFERROR(MID(VLOOKUP($B191,Seqs!$A:$B,2,0),Q191,1),"")</f>
        <v>Q</v>
      </c>
      <c r="Q191" s="3">
        <v>93</v>
      </c>
      <c r="R191" s="3" t="str">
        <f>IFERROR(MID(VLOOKUP($B191,Seqs!$A:$B,2,0),S191,1),"")</f>
        <v>F</v>
      </c>
      <c r="S191" s="3">
        <v>96</v>
      </c>
      <c r="T191" s="3" t="str">
        <f>IFERROR(MID(VLOOKUP($B191,Seqs!$A:$B,2,0),U191,1),"")</f>
        <v>G</v>
      </c>
      <c r="U191" s="3">
        <v>97</v>
      </c>
      <c r="V191" s="3" t="str">
        <f>IFERROR(MID(VLOOKUP($B191,Seqs!$A:$B,2,0),W191,1),"")</f>
        <v>H</v>
      </c>
      <c r="W191" s="3">
        <v>132</v>
      </c>
      <c r="X191" s="3" t="str">
        <f>IFERROR(MID(VLOOKUP($B191,Seqs!$A:$B,2,0),Y191,1),"")</f>
        <v>A</v>
      </c>
      <c r="Y191" s="3">
        <v>133</v>
      </c>
      <c r="Z191" s="3" t="str">
        <f>IFERROR(MID(VLOOKUP($B191,Seqs!$A:$B,2,0),AA191,1),"")</f>
        <v>R</v>
      </c>
      <c r="AA191" s="3">
        <v>140</v>
      </c>
      <c r="AB191" s="3" t="str">
        <f>IFERROR(MID(VLOOKUP($B191,Seqs!$A:$B,2,0),AC191,1),"")</f>
        <v>T</v>
      </c>
      <c r="AC191" s="3">
        <v>141</v>
      </c>
      <c r="AD191" s="3" t="str">
        <f>IFERROR(MID(VLOOKUP($B191,Seqs!$A:$B,2,0),AE191,1),"")</f>
        <v>T</v>
      </c>
      <c r="AE191" s="3">
        <v>167</v>
      </c>
      <c r="AF191" s="3" t="str">
        <f>IFERROR(MID(VLOOKUP($B191,Seqs!$A:$B,2,0),AG191,1),"")</f>
        <v>C</v>
      </c>
      <c r="AG191" s="3">
        <v>178</v>
      </c>
      <c r="AH191" s="3" t="str">
        <f>IFERROR(MID(VLOOKUP($B191,Seqs!$A:$B,2,0),AI191,1),"")</f>
        <v>S</v>
      </c>
      <c r="AI191" s="3">
        <v>180</v>
      </c>
      <c r="AJ191" s="3" t="str">
        <f>IFERROR(MID(VLOOKUP($B191,Seqs!$A:$B,2,0),AK191,1),"")</f>
        <v>Q</v>
      </c>
      <c r="AK191" s="3">
        <v>186</v>
      </c>
      <c r="AL191" s="3" t="str">
        <f>IFERROR(MID(VLOOKUP($B191,Seqs!$A:$B,2,0),AM191,1),"")</f>
        <v>R</v>
      </c>
      <c r="AM191" s="3">
        <v>223</v>
      </c>
      <c r="AN191" s="3" t="str">
        <f>IFERROR(MID(VLOOKUP($B191,Seqs!$A:$B,2,0),AO191,1),"")</f>
        <v>H</v>
      </c>
      <c r="AO191" s="3">
        <v>231</v>
      </c>
      <c r="AP191" s="3" t="str">
        <f>IFERROR(MID(VLOOKUP($B191,Seqs!$A:$B,2,0),AQ191,1),"")</f>
        <v>F</v>
      </c>
      <c r="AQ191" s="3">
        <v>260</v>
      </c>
      <c r="AR191" s="3" t="str">
        <f>IFERROR(MID(VLOOKUP($B191,Seqs!$A:$B,2,0),AS191,1),"")</f>
        <v>N</v>
      </c>
      <c r="AS191" s="3">
        <v>268</v>
      </c>
      <c r="AT191" s="3" t="str">
        <f>IFERROR(MID(VLOOKUP($B191,Seqs!$A:$B,2,0),AU191,1),"")</f>
        <v>V</v>
      </c>
      <c r="AU191" s="3">
        <v>300</v>
      </c>
      <c r="AV191" s="3" t="str">
        <f>IFERROR(MID(VLOOKUP($B191,Seqs!$A:$B,2,0),AW191,1),"")</f>
        <v>G</v>
      </c>
      <c r="AW191" s="3">
        <v>301</v>
      </c>
      <c r="AX191" s="3" t="str">
        <f>IFERROR(MID(VLOOKUP($B191,Seqs!$A:$B,2,0),AY191,1),"")</f>
        <v>L</v>
      </c>
      <c r="AY191" s="3">
        <v>308</v>
      </c>
      <c r="AZ191" s="77" t="str">
        <f>VLOOKUP(B191,Classification!A:D,2,0)</f>
        <v>A</v>
      </c>
      <c r="BA191" s="94" t="str">
        <f>VLOOKUP(B191,Classification!A:D,4,0)</f>
        <v>Chemokine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252</v>
      </c>
      <c r="BD191" s="2" t="s">
        <v>23</v>
      </c>
      <c r="BE191" s="3" t="s">
        <v>1370</v>
      </c>
      <c r="BF191" s="118">
        <v>2.8</v>
      </c>
      <c r="BG191" s="49" t="s">
        <v>1277</v>
      </c>
      <c r="BH191" s="49" t="s">
        <v>1277</v>
      </c>
      <c r="BI191" s="1"/>
      <c r="BJ191" s="70" t="s">
        <v>1283</v>
      </c>
      <c r="BK191" s="57" t="s">
        <v>1283</v>
      </c>
      <c r="BL191" s="57" t="s">
        <v>1283</v>
      </c>
      <c r="BM191" s="57" t="s">
        <v>1283</v>
      </c>
      <c r="BN191" s="57" t="s">
        <v>1283</v>
      </c>
      <c r="BO191" s="57" t="s">
        <v>1283</v>
      </c>
      <c r="BP191" s="57" t="s">
        <v>1283</v>
      </c>
      <c r="BQ191" s="57" t="s">
        <v>1283</v>
      </c>
      <c r="BR191" s="57" t="s">
        <v>1283</v>
      </c>
      <c r="BS191" s="57" t="s">
        <v>1283</v>
      </c>
      <c r="BT191" s="57" t="s">
        <v>1283</v>
      </c>
      <c r="BU191" s="57" t="s">
        <v>1283</v>
      </c>
      <c r="BV191" s="70">
        <f>E191</f>
        <v>25</v>
      </c>
      <c r="BW191" s="71" t="str">
        <f>I191</f>
        <v>-</v>
      </c>
      <c r="BX191" s="72">
        <f>M191</f>
        <v>63</v>
      </c>
      <c r="BY191" s="71">
        <f>Q191</f>
        <v>93</v>
      </c>
      <c r="BZ191" s="72">
        <f>U191</f>
        <v>97</v>
      </c>
      <c r="CA191" s="71">
        <f>Y191</f>
        <v>133</v>
      </c>
      <c r="CB191" s="72">
        <f>AC191</f>
        <v>141</v>
      </c>
      <c r="CC191" s="71">
        <f>AG191</f>
        <v>178</v>
      </c>
      <c r="CD191" s="72">
        <f>AK191</f>
        <v>186</v>
      </c>
      <c r="CE191" s="71">
        <f>AO191</f>
        <v>231</v>
      </c>
      <c r="CF191" s="72">
        <f>AS191</f>
        <v>268</v>
      </c>
      <c r="CG191" s="71">
        <f>AW191</f>
        <v>301</v>
      </c>
      <c r="CH191" s="70">
        <f>G191</f>
        <v>58</v>
      </c>
      <c r="CI191" s="71" t="str">
        <f>K191</f>
        <v>-</v>
      </c>
      <c r="CJ191" s="72">
        <f>O191</f>
        <v>92</v>
      </c>
      <c r="CK191" s="72">
        <f>S191</f>
        <v>96</v>
      </c>
      <c r="CL191" s="72">
        <f>W191</f>
        <v>132</v>
      </c>
      <c r="CM191" s="72">
        <f>AA191</f>
        <v>140</v>
      </c>
      <c r="CN191" s="72">
        <f>AE191</f>
        <v>167</v>
      </c>
      <c r="CO191" s="72">
        <f>AI191</f>
        <v>180</v>
      </c>
      <c r="CP191" s="72">
        <f>AM191</f>
        <v>223</v>
      </c>
      <c r="CQ191" s="72">
        <f>AQ191</f>
        <v>260</v>
      </c>
      <c r="CR191" s="72">
        <f>AU191</f>
        <v>300</v>
      </c>
      <c r="CS191" s="72">
        <f>AY191</f>
        <v>308</v>
      </c>
      <c r="CT191" s="23" t="e">
        <f>M191-K191</f>
        <v>#VALUE!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>CONCATENATE(B192,"_",C192)</f>
        <v>ccr5_human_6MEO</v>
      </c>
      <c r="B192" s="3" t="s">
        <v>173</v>
      </c>
      <c r="C192" s="3" t="s">
        <v>1537</v>
      </c>
      <c r="D192" s="3" t="str">
        <f>IFERROR(MID(VLOOKUP($B192,Seqs!$A:$B,2,0),E192,1),"")</f>
        <v>K</v>
      </c>
      <c r="E192" s="3">
        <v>26</v>
      </c>
      <c r="F192" s="3" t="str">
        <f>IFERROR(MID(VLOOKUP($B192,Seqs!$A:$B,2,0),G192,1),"")</f>
        <v>R</v>
      </c>
      <c r="G192" s="3">
        <v>60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S</v>
      </c>
      <c r="M192" s="3">
        <v>63</v>
      </c>
      <c r="N192" s="3" t="str">
        <f>IFERROR(MID(VLOOKUP($B192,Seqs!$A:$B,2,0),O192,1),"")</f>
        <v>A</v>
      </c>
      <c r="O192" s="3">
        <v>90</v>
      </c>
      <c r="P192" s="3" t="str">
        <f>IFERROR(MID(VLOOKUP($B192,Seqs!$A:$B,2,0),Q192,1),"")</f>
        <v>Q</v>
      </c>
      <c r="Q192" s="3">
        <v>93</v>
      </c>
      <c r="R192" s="3" t="str">
        <f>IFERROR(MID(VLOOKUP($B192,Seqs!$A:$B,2,0),S192,1),"")</f>
        <v>F</v>
      </c>
      <c r="S192" s="3">
        <v>96</v>
      </c>
      <c r="T192" s="3" t="str">
        <f>IFERROR(MID(VLOOKUP($B192,Seqs!$A:$B,2,0),U192,1),"")</f>
        <v>M</v>
      </c>
      <c r="U192" s="3">
        <v>100</v>
      </c>
      <c r="V192" s="3" t="str">
        <f>IFERROR(MID(VLOOKUP($B192,Seqs!$A:$B,2,0),W192,1),"")</f>
        <v>H</v>
      </c>
      <c r="W192" s="3">
        <v>132</v>
      </c>
      <c r="X192" s="3" t="str">
        <f>IFERROR(MID(VLOOKUP($B192,Seqs!$A:$B,2,0),Y192,1),"")</f>
        <v>A</v>
      </c>
      <c r="Y192" s="3">
        <v>133</v>
      </c>
      <c r="Z192" s="3" t="str">
        <f>IFERROR(MID(VLOOKUP($B192,Seqs!$A:$B,2,0),AA192,1),"")</f>
        <v>R</v>
      </c>
      <c r="AA192" s="3">
        <v>140</v>
      </c>
      <c r="AB192" s="3" t="str">
        <f>IFERROR(MID(VLOOKUP($B192,Seqs!$A:$B,2,0),AC192,1),"")</f>
        <v>T</v>
      </c>
      <c r="AC192" s="3">
        <v>141</v>
      </c>
      <c r="AD192" s="3" t="str">
        <f>IFERROR(MID(VLOOKUP($B192,Seqs!$A:$B,2,0),AE192,1),"")</f>
        <v>I</v>
      </c>
      <c r="AE192" s="3">
        <v>165</v>
      </c>
      <c r="AF192" s="3" t="str">
        <f>IFERROR(MID(VLOOKUP($B192,Seqs!$A:$B,2,0),AG192,1),"")</f>
        <v>C</v>
      </c>
      <c r="AG192" s="3">
        <v>178</v>
      </c>
      <c r="AH192" s="3" t="str">
        <f>IFERROR(MID(VLOOKUP($B192,Seqs!$A:$B,2,0),AI192,1),"")</f>
        <v>S</v>
      </c>
      <c r="AI192" s="3">
        <v>180</v>
      </c>
      <c r="AJ192" s="3" t="str">
        <f>IFERROR(MID(VLOOKUP($B192,Seqs!$A:$B,2,0),AK192,1),"")</f>
        <v>Q</v>
      </c>
      <c r="AK192" s="3">
        <v>186</v>
      </c>
      <c r="AL192" s="3" t="str">
        <f>IFERROR(MID(VLOOKUP($B192,Seqs!$A:$B,2,0),AM192,1),"")</f>
        <v>C</v>
      </c>
      <c r="AM192" s="3">
        <v>224</v>
      </c>
      <c r="AN192" s="3" t="str">
        <f>IFERROR(MID(VLOOKUP($B192,Seqs!$A:$B,2,0),AO192,1),"")</f>
        <v>K</v>
      </c>
      <c r="AO192" s="3">
        <v>228</v>
      </c>
      <c r="AP192" s="3" t="str">
        <f>IFERROR(MID(VLOOKUP($B192,Seqs!$A:$B,2,0),AQ192,1),"")</f>
        <v>F</v>
      </c>
      <c r="AQ192" s="3">
        <v>260</v>
      </c>
      <c r="AR192" s="3" t="str">
        <f>IFERROR(MID(VLOOKUP($B192,Seqs!$A:$B,2,0),AS192,1),"")</f>
        <v>N</v>
      </c>
      <c r="AS192" s="3">
        <v>268</v>
      </c>
      <c r="AT192" s="3" t="str">
        <f>IFERROR(MID(VLOOKUP($B192,Seqs!$A:$B,2,0),AU192,1),"")</f>
        <v>V</v>
      </c>
      <c r="AU192" s="3">
        <v>300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Chemokine</v>
      </c>
      <c r="BB192" s="27" t="b">
        <f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>_xlfn.AGGREGATE(9,6,CH192:CS192)-_xlfn.AGGREGATE(9,6,BV192:CG192)+12</f>
        <v>243</v>
      </c>
      <c r="BD192" s="2" t="s">
        <v>23</v>
      </c>
      <c r="BE192" s="3" t="s">
        <v>1370</v>
      </c>
      <c r="BF192" s="118">
        <v>3.9</v>
      </c>
      <c r="BG192" s="49" t="s">
        <v>1277</v>
      </c>
      <c r="BH192" s="49" t="s">
        <v>1277</v>
      </c>
      <c r="BI192" s="1"/>
      <c r="BJ192" s="70" t="s">
        <v>1283</v>
      </c>
      <c r="BK192" s="57" t="s">
        <v>1283</v>
      </c>
      <c r="BL192" s="57" t="s">
        <v>1283</v>
      </c>
      <c r="BM192" s="57" t="s">
        <v>1283</v>
      </c>
      <c r="BN192" s="57" t="s">
        <v>1283</v>
      </c>
      <c r="BO192" s="57" t="s">
        <v>1283</v>
      </c>
      <c r="BP192" s="57" t="s">
        <v>1283</v>
      </c>
      <c r="BQ192" s="57" t="s">
        <v>1283</v>
      </c>
      <c r="BR192" s="57" t="s">
        <v>1283</v>
      </c>
      <c r="BS192" s="57" t="s">
        <v>1283</v>
      </c>
      <c r="BT192" s="57" t="s">
        <v>1283</v>
      </c>
      <c r="BU192" s="57" t="s">
        <v>1283</v>
      </c>
      <c r="BV192" s="70">
        <f>E192</f>
        <v>26</v>
      </c>
      <c r="BW192" s="71" t="str">
        <f>I192</f>
        <v>-</v>
      </c>
      <c r="BX192" s="72">
        <f>M192</f>
        <v>63</v>
      </c>
      <c r="BY192" s="71">
        <f>Q192</f>
        <v>93</v>
      </c>
      <c r="BZ192" s="72">
        <f>U192</f>
        <v>100</v>
      </c>
      <c r="CA192" s="71">
        <f>Y192</f>
        <v>133</v>
      </c>
      <c r="CB192" s="72">
        <f>AC192</f>
        <v>141</v>
      </c>
      <c r="CC192" s="71">
        <f>AG192</f>
        <v>178</v>
      </c>
      <c r="CD192" s="72">
        <f>AK192</f>
        <v>186</v>
      </c>
      <c r="CE192" s="71">
        <f>AO192</f>
        <v>228</v>
      </c>
      <c r="CF192" s="72">
        <f>AS192</f>
        <v>268</v>
      </c>
      <c r="CG192" s="71" t="str">
        <f>AW192</f>
        <v>-</v>
      </c>
      <c r="CH192" s="70">
        <f>G192</f>
        <v>60</v>
      </c>
      <c r="CI192" s="71" t="str">
        <f>K192</f>
        <v>-</v>
      </c>
      <c r="CJ192" s="72">
        <f>O192</f>
        <v>90</v>
      </c>
      <c r="CK192" s="72">
        <f>S192</f>
        <v>96</v>
      </c>
      <c r="CL192" s="72">
        <f>W192</f>
        <v>132</v>
      </c>
      <c r="CM192" s="72">
        <f>AA192</f>
        <v>140</v>
      </c>
      <c r="CN192" s="72">
        <f>AE192</f>
        <v>165</v>
      </c>
      <c r="CO192" s="72">
        <f>AI192</f>
        <v>180</v>
      </c>
      <c r="CP192" s="72">
        <f>AM192</f>
        <v>224</v>
      </c>
      <c r="CQ192" s="72">
        <f>AQ192</f>
        <v>260</v>
      </c>
      <c r="CR192" s="72">
        <f>AU192</f>
        <v>300</v>
      </c>
      <c r="CS192" s="72" t="str">
        <f>AY192</f>
        <v>-</v>
      </c>
      <c r="CT192" s="23" t="e">
        <f>M192-K192</f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>CONCATENATE(B193,"_",C193)</f>
        <v>ccr5_human_6MET</v>
      </c>
      <c r="B193" s="3" t="s">
        <v>173</v>
      </c>
      <c r="C193" s="3" t="s">
        <v>1536</v>
      </c>
      <c r="D193" s="3" t="str">
        <f>IFERROR(MID(VLOOKUP($B193,Seqs!$A:$B,2,0),E193,1),"")</f>
        <v>K</v>
      </c>
      <c r="E193" s="3">
        <v>26</v>
      </c>
      <c r="F193" s="3" t="str">
        <f>IFERROR(MID(VLOOKUP($B193,Seqs!$A:$B,2,0),G193,1),"")</f>
        <v>R</v>
      </c>
      <c r="G193" s="3">
        <v>60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63</v>
      </c>
      <c r="N193" s="3" t="str">
        <f>IFERROR(MID(VLOOKUP($B193,Seqs!$A:$B,2,0),O193,1),"")</f>
        <v>A</v>
      </c>
      <c r="O193" s="3">
        <v>90</v>
      </c>
      <c r="P193" s="3" t="str">
        <f>IFERROR(MID(VLOOKUP($B193,Seqs!$A:$B,2,0),Q193,1),"")</f>
        <v>Q</v>
      </c>
      <c r="Q193" s="3">
        <v>93</v>
      </c>
      <c r="R193" s="3" t="str">
        <f>IFERROR(MID(VLOOKUP($B193,Seqs!$A:$B,2,0),S193,1),"")</f>
        <v>F</v>
      </c>
      <c r="S193" s="3">
        <v>96</v>
      </c>
      <c r="T193" s="3" t="str">
        <f>IFERROR(MID(VLOOKUP($B193,Seqs!$A:$B,2,0),U193,1),"")</f>
        <v>M</v>
      </c>
      <c r="U193" s="3">
        <v>100</v>
      </c>
      <c r="V193" s="3" t="str">
        <f>IFERROR(MID(VLOOKUP($B193,Seqs!$A:$B,2,0),W193,1),"")</f>
        <v>H</v>
      </c>
      <c r="W193" s="3">
        <v>132</v>
      </c>
      <c r="X193" s="3" t="str">
        <f>IFERROR(MID(VLOOKUP($B193,Seqs!$A:$B,2,0),Y193,1),"")</f>
        <v>A</v>
      </c>
      <c r="Y193" s="3">
        <v>133</v>
      </c>
      <c r="Z193" s="3" t="str">
        <f>IFERROR(MID(VLOOKUP($B193,Seqs!$A:$B,2,0),AA193,1),"")</f>
        <v>R</v>
      </c>
      <c r="AA193" s="3">
        <v>140</v>
      </c>
      <c r="AB193" s="3" t="str">
        <f>IFERROR(MID(VLOOKUP($B193,Seqs!$A:$B,2,0),AC193,1),"")</f>
        <v>T</v>
      </c>
      <c r="AC193" s="3">
        <v>141</v>
      </c>
      <c r="AD193" s="3" t="str">
        <f>IFERROR(MID(VLOOKUP($B193,Seqs!$A:$B,2,0),AE193,1),"")</f>
        <v>I</v>
      </c>
      <c r="AE193" s="3">
        <v>165</v>
      </c>
      <c r="AF193" s="3" t="str">
        <f>IFERROR(MID(VLOOKUP($B193,Seqs!$A:$B,2,0),AG193,1),"")</f>
        <v>C</v>
      </c>
      <c r="AG193" s="3">
        <v>178</v>
      </c>
      <c r="AH193" s="3" t="str">
        <f>IFERROR(MID(VLOOKUP($B193,Seqs!$A:$B,2,0),AI193,1),"")</f>
        <v>S</v>
      </c>
      <c r="AI193" s="3">
        <v>180</v>
      </c>
      <c r="AJ193" s="3" t="str">
        <f>IFERROR(MID(VLOOKUP($B193,Seqs!$A:$B,2,0),AK193,1),"")</f>
        <v>Q</v>
      </c>
      <c r="AK193" s="3">
        <v>186</v>
      </c>
      <c r="AL193" s="3" t="str">
        <f>IFERROR(MID(VLOOKUP($B193,Seqs!$A:$B,2,0),AM193,1),"")</f>
        <v>C</v>
      </c>
      <c r="AM193" s="3">
        <v>224</v>
      </c>
      <c r="AN193" s="3" t="str">
        <f>IFERROR(MID(VLOOKUP($B193,Seqs!$A:$B,2,0),AO193,1),"")</f>
        <v>K</v>
      </c>
      <c r="AO193" s="3">
        <v>228</v>
      </c>
      <c r="AP193" s="3" t="str">
        <f>IFERROR(MID(VLOOKUP($B193,Seqs!$A:$B,2,0),AQ193,1),"")</f>
        <v>F</v>
      </c>
      <c r="AQ193" s="3">
        <v>260</v>
      </c>
      <c r="AR193" s="3" t="str">
        <f>IFERROR(MID(VLOOKUP($B193,Seqs!$A:$B,2,0),AS193,1),"")</f>
        <v>N</v>
      </c>
      <c r="AS193" s="3">
        <v>268</v>
      </c>
      <c r="AT193" s="3" t="str">
        <f>IFERROR(MID(VLOOKUP($B193,Seqs!$A:$B,2,0),AU193,1),"")</f>
        <v>V</v>
      </c>
      <c r="AU193" s="3">
        <v>300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7" t="str">
        <f>VLOOKUP(B193,Classification!A:D,2,0)</f>
        <v>A</v>
      </c>
      <c r="BA193" s="94" t="str">
        <f>VLOOKUP(B193,Classification!A:D,4,0)</f>
        <v>Chemokine</v>
      </c>
      <c r="BB193" s="27" t="b">
        <f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>_xlfn.AGGREGATE(9,6,CH193:CS193)-_xlfn.AGGREGATE(9,6,BV193:CG193)+12</f>
        <v>243</v>
      </c>
      <c r="BD193" s="2" t="s">
        <v>23</v>
      </c>
      <c r="BE193" s="3" t="s">
        <v>1370</v>
      </c>
      <c r="BF193" s="118">
        <v>4.5</v>
      </c>
      <c r="BG193" s="49" t="s">
        <v>1277</v>
      </c>
      <c r="BH193" s="49" t="s">
        <v>1277</v>
      </c>
      <c r="BI193" s="1"/>
      <c r="BJ193" s="70" t="s">
        <v>1283</v>
      </c>
      <c r="BK193" s="57" t="s">
        <v>1283</v>
      </c>
      <c r="BL193" s="57" t="s">
        <v>1283</v>
      </c>
      <c r="BM193" s="57" t="s">
        <v>1283</v>
      </c>
      <c r="BN193" s="57" t="s">
        <v>1283</v>
      </c>
      <c r="BO193" s="57" t="s">
        <v>1283</v>
      </c>
      <c r="BP193" s="57" t="s">
        <v>1283</v>
      </c>
      <c r="BQ193" s="57" t="s">
        <v>1283</v>
      </c>
      <c r="BR193" s="57" t="s">
        <v>1283</v>
      </c>
      <c r="BS193" s="57" t="s">
        <v>1283</v>
      </c>
      <c r="BT193" s="57" t="s">
        <v>1283</v>
      </c>
      <c r="BU193" s="57" t="s">
        <v>1283</v>
      </c>
      <c r="BV193" s="70">
        <f>E193</f>
        <v>26</v>
      </c>
      <c r="BW193" s="71" t="str">
        <f>I193</f>
        <v>-</v>
      </c>
      <c r="BX193" s="72">
        <f>M193</f>
        <v>63</v>
      </c>
      <c r="BY193" s="71">
        <f>Q193</f>
        <v>93</v>
      </c>
      <c r="BZ193" s="72">
        <f>U193</f>
        <v>100</v>
      </c>
      <c r="CA193" s="71">
        <f>Y193</f>
        <v>133</v>
      </c>
      <c r="CB193" s="72">
        <f>AC193</f>
        <v>141</v>
      </c>
      <c r="CC193" s="71">
        <f>AG193</f>
        <v>178</v>
      </c>
      <c r="CD193" s="72">
        <f>AK193</f>
        <v>186</v>
      </c>
      <c r="CE193" s="71">
        <f>AO193</f>
        <v>228</v>
      </c>
      <c r="CF193" s="72">
        <f>AS193</f>
        <v>268</v>
      </c>
      <c r="CG193" s="71" t="str">
        <f>AW193</f>
        <v>-</v>
      </c>
      <c r="CH193" s="70">
        <f>G193</f>
        <v>60</v>
      </c>
      <c r="CI193" s="71" t="str">
        <f>K193</f>
        <v>-</v>
      </c>
      <c r="CJ193" s="72">
        <f>O193</f>
        <v>90</v>
      </c>
      <c r="CK193" s="72">
        <f>S193</f>
        <v>96</v>
      </c>
      <c r="CL193" s="72">
        <f>W193</f>
        <v>132</v>
      </c>
      <c r="CM193" s="72">
        <f>AA193</f>
        <v>140</v>
      </c>
      <c r="CN193" s="72">
        <f>AE193</f>
        <v>165</v>
      </c>
      <c r="CO193" s="72">
        <f>AI193</f>
        <v>180</v>
      </c>
      <c r="CP193" s="72">
        <f>AM193</f>
        <v>224</v>
      </c>
      <c r="CQ193" s="72">
        <f>AQ193</f>
        <v>260</v>
      </c>
      <c r="CR193" s="72">
        <f>AU193</f>
        <v>300</v>
      </c>
      <c r="CS193" s="72" t="str">
        <f>AY193</f>
        <v>-</v>
      </c>
      <c r="CT193" s="23" t="e">
        <f>M193-K193</f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s="12" customFormat="1" x14ac:dyDescent="0.2">
      <c r="A194" s="9" t="str">
        <f t="shared" ref="A194:A195" si="1623">CONCATENATE(B194,"_",C194)</f>
        <v>ccr6_human__wt</v>
      </c>
      <c r="B194" s="9" t="s">
        <v>174</v>
      </c>
      <c r="C194" s="9" t="s">
        <v>100</v>
      </c>
      <c r="D194" s="9" t="str">
        <f>IFERROR(MID(VLOOKUP($B194,Seqs!$A:$B,2,0),E194,1),"")</f>
        <v>Q</v>
      </c>
      <c r="E194" s="9">
        <v>39</v>
      </c>
      <c r="F194" s="9" t="str">
        <f>IFERROR(MID(VLOOKUP($B194,Seqs!$A:$B,2,0),G194,1),"")</f>
        <v>Y</v>
      </c>
      <c r="G194" s="9">
        <v>74</v>
      </c>
      <c r="H194" s="9" t="str">
        <f>IFERROR(MID(VLOOKUP($B194,Seqs!$A:$B,2,0),I194,1),"")</f>
        <v>K</v>
      </c>
      <c r="I194" s="109">
        <v>75</v>
      </c>
      <c r="J194" s="9" t="str">
        <f>IFERROR(MID(VLOOKUP($B194,Seqs!$A:$B,2,0),K194,1),"")</f>
        <v>R</v>
      </c>
      <c r="K194" s="109">
        <v>78</v>
      </c>
      <c r="L194" s="9" t="str">
        <f>IFERROR(MID(VLOOKUP($B194,Seqs!$A:$B,2,0),M194,1),"")</f>
        <v>S</v>
      </c>
      <c r="M194" s="9">
        <v>79</v>
      </c>
      <c r="N194" s="9" t="str">
        <f>IFERROR(MID(VLOOKUP($B194,Seqs!$A:$B,2,0),O194,1),"")</f>
        <v>G</v>
      </c>
      <c r="O194" s="9">
        <v>109</v>
      </c>
      <c r="P194" s="9" t="str">
        <f>IFERROR(MID(VLOOKUP($B194,Seqs!$A:$B,2,0),Q194,1),"")</f>
        <v>A</v>
      </c>
      <c r="Q194" s="9">
        <v>110</v>
      </c>
      <c r="R194" s="9" t="str">
        <f>IFERROR(MID(VLOOKUP($B194,Seqs!$A:$B,2,0),S194,1),"")</f>
        <v>F</v>
      </c>
      <c r="S194" s="9">
        <v>113</v>
      </c>
      <c r="T194" s="9" t="str">
        <f>IFERROR(MID(VLOOKUP($B194,Seqs!$A:$B,2,0),U194,1),"")</f>
        <v>S</v>
      </c>
      <c r="U194" s="9">
        <v>114</v>
      </c>
      <c r="V194" s="9" t="str">
        <f>IFERROR(MID(VLOOKUP($B194,Seqs!$A:$B,2,0),W194,1),"")</f>
        <v>Q</v>
      </c>
      <c r="W194" s="9">
        <v>149</v>
      </c>
      <c r="X194" s="9" t="str">
        <f>IFERROR(MID(VLOOKUP($B194,Seqs!$A:$B,2,0),Y194,1),"")</f>
        <v>A</v>
      </c>
      <c r="Y194" s="9">
        <v>150</v>
      </c>
      <c r="Z194" s="9" t="str">
        <f>IFERROR(MID(VLOOKUP($B194,Seqs!$A:$B,2,0),AA194,1),"")</f>
        <v>L</v>
      </c>
      <c r="AA194" s="9">
        <v>156</v>
      </c>
      <c r="AB194" s="9" t="str">
        <f>IFERROR(MID(VLOOKUP($B194,Seqs!$A:$B,2,0),AC194,1),"")</f>
        <v>T</v>
      </c>
      <c r="AC194" s="9">
        <v>160</v>
      </c>
      <c r="AD194" s="9" t="str">
        <f>IFERROR(MID(VLOOKUP($B194,Seqs!$A:$B,2,0),AE194,1),"")</f>
        <v>N</v>
      </c>
      <c r="AE194" s="9">
        <v>186</v>
      </c>
      <c r="AF194" s="9" t="str">
        <f>IFERROR(MID(VLOOKUP($B194,Seqs!$A:$B,2,0),AG194,1),"")</f>
        <v>C</v>
      </c>
      <c r="AG194" s="9">
        <v>197</v>
      </c>
      <c r="AH194" s="9" t="str">
        <f>IFERROR(MID(VLOOKUP($B194,Seqs!$A:$B,2,0),AI194,1),"")</f>
        <v>P</v>
      </c>
      <c r="AI194" s="9">
        <v>199</v>
      </c>
      <c r="AJ194" s="9" t="str">
        <f>IFERROR(MID(VLOOKUP($B194,Seqs!$A:$B,2,0),AK194,1),"")</f>
        <v>P</v>
      </c>
      <c r="AK194" s="9">
        <v>207</v>
      </c>
      <c r="AL194" s="9" t="str">
        <f>IFERROR(MID(VLOOKUP($B194,Seqs!$A:$B,2,0),AM194,1),"")</f>
        <v>I</v>
      </c>
      <c r="AM194" s="9">
        <v>225</v>
      </c>
      <c r="AN194" s="9" t="str">
        <f>IFERROR(MID(VLOOKUP($B194,Seqs!$A:$B,2,0),AO194,1),"")</f>
        <v>R</v>
      </c>
      <c r="AO194" s="9">
        <v>249</v>
      </c>
      <c r="AP194" s="9" t="str">
        <f>IFERROR(MID(VLOOKUP($B194,Seqs!$A:$B,2,0),AQ194,1),"")</f>
        <v>A</v>
      </c>
      <c r="AQ194" s="9">
        <v>279</v>
      </c>
      <c r="AR194" s="9" t="str">
        <f>IFERROR(MID(VLOOKUP($B194,Seqs!$A:$B,2,0),AS194,1),"")</f>
        <v>S</v>
      </c>
      <c r="AS194" s="9">
        <v>287</v>
      </c>
      <c r="AT194" s="9" t="str">
        <f>IFERROR(MID(VLOOKUP($B194,Seqs!$A:$B,2,0),AU194,1),"")</f>
        <v>I</v>
      </c>
      <c r="AU194" s="9">
        <v>319</v>
      </c>
      <c r="AV194" s="9" t="str">
        <f>IFERROR(MID(VLOOKUP($B194,Seqs!$A:$B,2,0),AW194,1),"")</f>
        <v>G</v>
      </c>
      <c r="AW194" s="9">
        <v>320</v>
      </c>
      <c r="AX194" s="9" t="str">
        <f>IFERROR(MID(VLOOKUP($B194,Seqs!$A:$B,2,0),AY194,1),"")</f>
        <v>W</v>
      </c>
      <c r="AY194" s="9">
        <v>335</v>
      </c>
      <c r="AZ194" s="110" t="str">
        <f>VLOOKUP(B194,Classification!A:D,2,0)</f>
        <v>A</v>
      </c>
      <c r="BA194" s="98" t="str">
        <f>VLOOKUP(B194,Classification!A:D,4,0)</f>
        <v>Chemokine</v>
      </c>
      <c r="BB194" s="36" t="b">
        <f t="shared" ref="BB194:BB195" si="1624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09">
        <f t="shared" ref="BC194:BC195" si="1625">_xlfn.AGGREGATE(9,6,CH194:CS194)-_xlfn.AGGREGATE(9,6,BV194:CG194)+12</f>
        <v>247</v>
      </c>
      <c r="BD194" s="40" t="s">
        <v>23</v>
      </c>
      <c r="BE194" s="9" t="s">
        <v>23</v>
      </c>
      <c r="BF194" s="119" t="s">
        <v>23</v>
      </c>
      <c r="BG194" s="51" t="s">
        <v>23</v>
      </c>
      <c r="BH194" s="51" t="s">
        <v>23</v>
      </c>
      <c r="BJ194" s="111" t="s">
        <v>1283</v>
      </c>
      <c r="BK194" s="112" t="s">
        <v>1283</v>
      </c>
      <c r="BL194" s="112" t="s">
        <v>1283</v>
      </c>
      <c r="BM194" s="112" t="s">
        <v>1283</v>
      </c>
      <c r="BN194" s="112" t="s">
        <v>1283</v>
      </c>
      <c r="BO194" s="112" t="s">
        <v>1283</v>
      </c>
      <c r="BP194" s="112" t="s">
        <v>1283</v>
      </c>
      <c r="BQ194" s="112" t="s">
        <v>1283</v>
      </c>
      <c r="BR194" s="112" t="s">
        <v>1283</v>
      </c>
      <c r="BS194" s="112" t="s">
        <v>1283</v>
      </c>
      <c r="BT194" s="112" t="s">
        <v>1283</v>
      </c>
      <c r="BU194" s="112" t="s">
        <v>1283</v>
      </c>
      <c r="BV194" s="111">
        <f t="shared" ref="BV194:BV195" si="1626">E194</f>
        <v>39</v>
      </c>
      <c r="BW194" s="113">
        <f t="shared" ref="BW194:BW195" si="1627">I194</f>
        <v>75</v>
      </c>
      <c r="BX194" s="114">
        <f t="shared" ref="BX194:BX195" si="1628">M194</f>
        <v>79</v>
      </c>
      <c r="BY194" s="113">
        <f t="shared" ref="BY194:BY195" si="1629">Q194</f>
        <v>110</v>
      </c>
      <c r="BZ194" s="114">
        <f t="shared" ref="BZ194:BZ195" si="1630">U194</f>
        <v>114</v>
      </c>
      <c r="CA194" s="113">
        <f t="shared" ref="CA194:CA195" si="1631">Y194</f>
        <v>150</v>
      </c>
      <c r="CB194" s="114">
        <f t="shared" ref="CB194:CB195" si="1632">AC194</f>
        <v>160</v>
      </c>
      <c r="CC194" s="113">
        <f t="shared" ref="CC194:CC195" si="1633">AG194</f>
        <v>197</v>
      </c>
      <c r="CD194" s="114">
        <f t="shared" ref="CD194:CD195" si="1634">AK194</f>
        <v>207</v>
      </c>
      <c r="CE194" s="113">
        <f t="shared" ref="CE194:CE195" si="1635">AO194</f>
        <v>249</v>
      </c>
      <c r="CF194" s="114">
        <f t="shared" ref="CF194:CF195" si="1636">AS194</f>
        <v>287</v>
      </c>
      <c r="CG194" s="113">
        <f t="shared" ref="CG194:CG195" si="1637">AW194</f>
        <v>320</v>
      </c>
      <c r="CH194" s="111">
        <f t="shared" ref="CH194:CH195" si="1638">G194</f>
        <v>74</v>
      </c>
      <c r="CI194" s="113">
        <f t="shared" ref="CI194:CI195" si="1639">K194</f>
        <v>78</v>
      </c>
      <c r="CJ194" s="114">
        <f t="shared" ref="CJ194:CJ195" si="1640">O194</f>
        <v>109</v>
      </c>
      <c r="CK194" s="114">
        <f t="shared" ref="CK194:CK195" si="1641">S194</f>
        <v>113</v>
      </c>
      <c r="CL194" s="114">
        <f t="shared" ref="CL194:CL195" si="1642">W194</f>
        <v>149</v>
      </c>
      <c r="CM194" s="114">
        <f t="shared" ref="CM194:CM195" si="1643">AA194</f>
        <v>156</v>
      </c>
      <c r="CN194" s="114">
        <f t="shared" ref="CN194:CN195" si="1644">AE194</f>
        <v>186</v>
      </c>
      <c r="CO194" s="114">
        <f t="shared" ref="CO194:CO195" si="1645">AI194</f>
        <v>199</v>
      </c>
      <c r="CP194" s="114">
        <f t="shared" ref="CP194:CP195" si="1646">AM194</f>
        <v>225</v>
      </c>
      <c r="CQ194" s="114">
        <f t="shared" ref="CQ194:CQ195" si="1647">AQ194</f>
        <v>279</v>
      </c>
      <c r="CR194" s="114">
        <f t="shared" ref="CR194:CR195" si="1648">AU194</f>
        <v>319</v>
      </c>
      <c r="CS194" s="114">
        <f t="shared" ref="CS194:CS195" si="1649">AY194</f>
        <v>335</v>
      </c>
      <c r="CT194" s="109">
        <f t="shared" ref="CT194:CT195" si="1650">M194-K194</f>
        <v>1</v>
      </c>
    </row>
    <row r="195" spans="1:1029" s="12" customFormat="1" x14ac:dyDescent="0.2">
      <c r="A195" s="9" t="str">
        <f t="shared" si="1623"/>
        <v>ccr6_human_6WWZ</v>
      </c>
      <c r="B195" s="9" t="s">
        <v>174</v>
      </c>
      <c r="C195" s="9" t="s">
        <v>1685</v>
      </c>
      <c r="D195" s="9" t="str">
        <f>IFERROR(MID(VLOOKUP($B195,Seqs!$A:$B,2,0),E195,1),"")</f>
        <v>Q</v>
      </c>
      <c r="E195" s="9">
        <v>39</v>
      </c>
      <c r="F195" s="9" t="str">
        <f>IFERROR(MID(VLOOKUP($B195,Seqs!$A:$B,2,0),G195,1),"")</f>
        <v>Y</v>
      </c>
      <c r="G195" s="9">
        <v>74</v>
      </c>
      <c r="H195" s="9" t="str">
        <f>IFERROR(MID(VLOOKUP($B195,Seqs!$A:$B,2,0),I195,1),"")</f>
        <v>K</v>
      </c>
      <c r="I195" s="109">
        <v>75</v>
      </c>
      <c r="J195" s="9" t="str">
        <f>IFERROR(MID(VLOOKUP($B195,Seqs!$A:$B,2,0),K195,1),"")</f>
        <v>R</v>
      </c>
      <c r="K195" s="109">
        <v>78</v>
      </c>
      <c r="L195" s="9" t="str">
        <f>IFERROR(MID(VLOOKUP($B195,Seqs!$A:$B,2,0),M195,1),"")</f>
        <v>S</v>
      </c>
      <c r="M195" s="9">
        <v>79</v>
      </c>
      <c r="N195" s="9" t="str">
        <f>IFERROR(MID(VLOOKUP($B195,Seqs!$A:$B,2,0),O195,1),"")</f>
        <v>G</v>
      </c>
      <c r="O195" s="9">
        <v>109</v>
      </c>
      <c r="P195" s="9" t="str">
        <f>IFERROR(MID(VLOOKUP($B195,Seqs!$A:$B,2,0),Q195,1),"")</f>
        <v>A</v>
      </c>
      <c r="Q195" s="9">
        <v>110</v>
      </c>
      <c r="R195" s="9" t="str">
        <f>IFERROR(MID(VLOOKUP($B195,Seqs!$A:$B,2,0),S195,1),"")</f>
        <v>F</v>
      </c>
      <c r="S195" s="9">
        <v>113</v>
      </c>
      <c r="T195" s="9" t="str">
        <f>IFERROR(MID(VLOOKUP($B195,Seqs!$A:$B,2,0),U195,1),"")</f>
        <v>S</v>
      </c>
      <c r="U195" s="9">
        <v>114</v>
      </c>
      <c r="V195" s="9" t="str">
        <f>IFERROR(MID(VLOOKUP($B195,Seqs!$A:$B,2,0),W195,1),"")</f>
        <v>V</v>
      </c>
      <c r="W195" s="9">
        <v>148</v>
      </c>
      <c r="X195" s="9" t="str">
        <f>IFERROR(MID(VLOOKUP($B195,Seqs!$A:$B,2,0),Y195,1),"")</f>
        <v>A</v>
      </c>
      <c r="Y195" s="9">
        <v>150</v>
      </c>
      <c r="Z195" s="9" t="str">
        <f>IFERROR(MID(VLOOKUP($B195,Seqs!$A:$B,2,0),AA195,1),"")</f>
        <v>L</v>
      </c>
      <c r="AA195" s="9">
        <v>156</v>
      </c>
      <c r="AB195" s="9" t="str">
        <f>IFERROR(MID(VLOOKUP($B195,Seqs!$A:$B,2,0),AC195,1),"")</f>
        <v>L</v>
      </c>
      <c r="AC195" s="9">
        <v>161</v>
      </c>
      <c r="AD195" s="9" t="str">
        <f>IFERROR(MID(VLOOKUP($B195,Seqs!$A:$B,2,0),AE195,1),"")</f>
        <v>N</v>
      </c>
      <c r="AE195" s="9">
        <v>186</v>
      </c>
      <c r="AF195" s="9" t="str">
        <f>IFERROR(MID(VLOOKUP($B195,Seqs!$A:$B,2,0),AG195,1),"")</f>
        <v>C</v>
      </c>
      <c r="AG195" s="9">
        <v>197</v>
      </c>
      <c r="AH195" s="9" t="str">
        <f>IFERROR(MID(VLOOKUP($B195,Seqs!$A:$B,2,0),AI195,1),"")</f>
        <v>P</v>
      </c>
      <c r="AI195" s="9">
        <v>199</v>
      </c>
      <c r="AJ195" s="9" t="str">
        <f>IFERROR(MID(VLOOKUP($B195,Seqs!$A:$B,2,0),AK195,1),"")</f>
        <v>P</v>
      </c>
      <c r="AK195" s="9">
        <v>207</v>
      </c>
      <c r="AL195" s="9" t="str">
        <f>IFERROR(MID(VLOOKUP($B195,Seqs!$A:$B,2,0),AM195,1),"")</f>
        <v>A</v>
      </c>
      <c r="AM195" s="9">
        <v>244</v>
      </c>
      <c r="AN195" s="9" t="str">
        <f>IFERROR(MID(VLOOKUP($B195,Seqs!$A:$B,2,0),AO195,1),"")</f>
        <v>R</v>
      </c>
      <c r="AO195" s="9">
        <v>249</v>
      </c>
      <c r="AP195" s="9" t="str">
        <f>IFERROR(MID(VLOOKUP($B195,Seqs!$A:$B,2,0),AQ195,1),"")</f>
        <v>A</v>
      </c>
      <c r="AQ195" s="9">
        <v>279</v>
      </c>
      <c r="AR195" s="9" t="str">
        <f>IFERROR(MID(VLOOKUP($B195,Seqs!$A:$B,2,0),AS195,1),"")</f>
        <v>S</v>
      </c>
      <c r="AS195" s="9">
        <v>287</v>
      </c>
      <c r="AT195" s="9" t="str">
        <f>IFERROR(MID(VLOOKUP($B195,Seqs!$A:$B,2,0),AU195,1),"")</f>
        <v>I</v>
      </c>
      <c r="AU195" s="9">
        <v>319</v>
      </c>
      <c r="AV195" s="9" t="str">
        <f>IFERROR(MID(VLOOKUP($B195,Seqs!$A:$B,2,0),AW195,1),"")</f>
        <v>G</v>
      </c>
      <c r="AW195" s="9">
        <v>320</v>
      </c>
      <c r="AX195" s="9" t="str">
        <f>IFERROR(MID(VLOOKUP($B195,Seqs!$A:$B,2,0),AY195,1),"")</f>
        <v>W</v>
      </c>
      <c r="AY195" s="9">
        <v>335</v>
      </c>
      <c r="AZ195" s="110" t="str">
        <f>VLOOKUP(B195,Classification!A:D,2,0)</f>
        <v>A</v>
      </c>
      <c r="BA195" s="98" t="str">
        <f>VLOOKUP(B195,Classification!A:D,4,0)</f>
        <v>Chemokine</v>
      </c>
      <c r="BB195" s="36" t="b">
        <f t="shared" si="1624"/>
        <v>1</v>
      </c>
      <c r="BC195" s="109">
        <f t="shared" si="1625"/>
        <v>264</v>
      </c>
      <c r="BD195" s="40" t="s">
        <v>1371</v>
      </c>
      <c r="BE195" s="9" t="s">
        <v>1287</v>
      </c>
      <c r="BF195" s="119">
        <v>3.34</v>
      </c>
      <c r="BG195" s="51" t="s">
        <v>1418</v>
      </c>
      <c r="BH195" s="51" t="s">
        <v>1418</v>
      </c>
      <c r="BJ195" s="111" t="s">
        <v>1283</v>
      </c>
      <c r="BK195" s="112" t="s">
        <v>1283</v>
      </c>
      <c r="BL195" s="112" t="s">
        <v>1283</v>
      </c>
      <c r="BM195" s="112" t="s">
        <v>1283</v>
      </c>
      <c r="BN195" s="112" t="s">
        <v>1283</v>
      </c>
      <c r="BO195" s="112" t="s">
        <v>1283</v>
      </c>
      <c r="BP195" s="112" t="s">
        <v>1283</v>
      </c>
      <c r="BQ195" s="112" t="s">
        <v>1283</v>
      </c>
      <c r="BR195" s="112" t="s">
        <v>1283</v>
      </c>
      <c r="BS195" s="112" t="s">
        <v>1283</v>
      </c>
      <c r="BT195" s="112" t="s">
        <v>1283</v>
      </c>
      <c r="BU195" s="112" t="s">
        <v>1283</v>
      </c>
      <c r="BV195" s="111">
        <f t="shared" si="1626"/>
        <v>39</v>
      </c>
      <c r="BW195" s="113">
        <f t="shared" si="1627"/>
        <v>75</v>
      </c>
      <c r="BX195" s="114">
        <f t="shared" si="1628"/>
        <v>79</v>
      </c>
      <c r="BY195" s="113">
        <f t="shared" si="1629"/>
        <v>110</v>
      </c>
      <c r="BZ195" s="114">
        <f t="shared" si="1630"/>
        <v>114</v>
      </c>
      <c r="CA195" s="113">
        <f t="shared" si="1631"/>
        <v>150</v>
      </c>
      <c r="CB195" s="114">
        <f t="shared" si="1632"/>
        <v>161</v>
      </c>
      <c r="CC195" s="113">
        <f t="shared" si="1633"/>
        <v>197</v>
      </c>
      <c r="CD195" s="114">
        <f t="shared" si="1634"/>
        <v>207</v>
      </c>
      <c r="CE195" s="113">
        <f t="shared" si="1635"/>
        <v>249</v>
      </c>
      <c r="CF195" s="114">
        <f t="shared" si="1636"/>
        <v>287</v>
      </c>
      <c r="CG195" s="113">
        <f t="shared" si="1637"/>
        <v>320</v>
      </c>
      <c r="CH195" s="111">
        <f t="shared" si="1638"/>
        <v>74</v>
      </c>
      <c r="CI195" s="113">
        <f t="shared" si="1639"/>
        <v>78</v>
      </c>
      <c r="CJ195" s="114">
        <f t="shared" si="1640"/>
        <v>109</v>
      </c>
      <c r="CK195" s="114">
        <f t="shared" si="1641"/>
        <v>113</v>
      </c>
      <c r="CL195" s="114">
        <f t="shared" si="1642"/>
        <v>148</v>
      </c>
      <c r="CM195" s="114">
        <f t="shared" si="1643"/>
        <v>156</v>
      </c>
      <c r="CN195" s="114">
        <f t="shared" si="1644"/>
        <v>186</v>
      </c>
      <c r="CO195" s="114">
        <f t="shared" si="1645"/>
        <v>199</v>
      </c>
      <c r="CP195" s="114">
        <f t="shared" si="1646"/>
        <v>244</v>
      </c>
      <c r="CQ195" s="114">
        <f t="shared" si="1647"/>
        <v>279</v>
      </c>
      <c r="CR195" s="114">
        <f t="shared" si="1648"/>
        <v>319</v>
      </c>
      <c r="CS195" s="114">
        <f t="shared" si="1649"/>
        <v>335</v>
      </c>
      <c r="CT195" s="109">
        <f t="shared" si="1650"/>
        <v>1</v>
      </c>
    </row>
    <row r="196" spans="1:1029" x14ac:dyDescent="0.2">
      <c r="A196" s="3" t="str">
        <f t="shared" ref="A196:A197" si="1651">CONCATENATE(B196,"_",C196)</f>
        <v>ccr7_human__wt</v>
      </c>
      <c r="B196" s="3" t="s">
        <v>175</v>
      </c>
      <c r="C196" s="3" t="s">
        <v>100</v>
      </c>
      <c r="D196" s="3" t="str">
        <f>IFERROR(MID(VLOOKUP($B196,Seqs!$A:$B,2,0),E196,1),"")</f>
        <v>N</v>
      </c>
      <c r="E196" s="3">
        <v>55</v>
      </c>
      <c r="F196" s="3" t="str">
        <f>IFERROR(MID(VLOOKUP($B196,Seqs!$A:$B,2,0),G196,1),"")</f>
        <v>F</v>
      </c>
      <c r="G196" s="3">
        <v>86</v>
      </c>
      <c r="H196" s="3" t="str">
        <f>IFERROR(MID(VLOOKUP($B196,Seqs!$A:$B,2,0),I196,1),"")</f>
        <v>K</v>
      </c>
      <c r="I196" s="23">
        <v>87</v>
      </c>
      <c r="J196" s="3" t="str">
        <f>IFERROR(MID(VLOOKUP($B196,Seqs!$A:$B,2,0),K196,1),"")</f>
        <v>K</v>
      </c>
      <c r="K196" s="23">
        <v>90</v>
      </c>
      <c r="L196" s="3" t="str">
        <f>IFERROR(MID(VLOOKUP($B196,Seqs!$A:$B,2,0),M196,1),"")</f>
        <v>T</v>
      </c>
      <c r="M196" s="3">
        <v>91</v>
      </c>
      <c r="N196" s="3" t="str">
        <f>IFERROR(MID(VLOOKUP($B196,Seqs!$A:$B,2,0),O196,1),"")</f>
        <v>K</v>
      </c>
      <c r="O196" s="3">
        <v>120</v>
      </c>
      <c r="P196" s="3" t="str">
        <f>IFERROR(MID(VLOOKUP($B196,Seqs!$A:$B,2,0),Q196,1),"")</f>
        <v>S</v>
      </c>
      <c r="Q196" s="3">
        <v>121</v>
      </c>
      <c r="R196" s="3" t="str">
        <f>IFERROR(MID(VLOOKUP($B196,Seqs!$A:$B,2,0),S196,1),"")</f>
        <v>F</v>
      </c>
      <c r="S196" s="3">
        <v>124</v>
      </c>
      <c r="T196" s="3" t="str">
        <f>IFERROR(MID(VLOOKUP($B196,Seqs!$A:$B,2,0),U196,1),"")</f>
        <v>G</v>
      </c>
      <c r="U196" s="3">
        <v>125</v>
      </c>
      <c r="V196" s="3" t="str">
        <f>IFERROR(MID(VLOOKUP($B196,Seqs!$A:$B,2,0),W196,1),"")</f>
        <v>Q</v>
      </c>
      <c r="W196" s="3">
        <v>160</v>
      </c>
      <c r="X196" s="3" t="str">
        <f>IFERROR(MID(VLOOKUP($B196,Seqs!$A:$B,2,0),Y196,1),"")</f>
        <v>A</v>
      </c>
      <c r="Y196" s="3">
        <v>161</v>
      </c>
      <c r="Z196" s="3" t="str">
        <f>IFERROR(MID(VLOOKUP($B196,Seqs!$A:$B,2,0),AA196,1),"")</f>
        <v>A</v>
      </c>
      <c r="AA196" s="3">
        <v>169</v>
      </c>
      <c r="AB196" s="3" t="str">
        <f>IFERROR(MID(VLOOKUP($B196,Seqs!$A:$B,2,0),AC196,1),"")</f>
        <v>V</v>
      </c>
      <c r="AC196" s="3">
        <v>171</v>
      </c>
      <c r="AD196" s="3" t="str">
        <f>IFERROR(MID(VLOOKUP($B196,Seqs!$A:$B,2,0),AE196,1),"")</f>
        <v>S</v>
      </c>
      <c r="AE196" s="3">
        <v>197</v>
      </c>
      <c r="AF196" s="3" t="str">
        <f>IFERROR(MID(VLOOKUP($B196,Seqs!$A:$B,2,0),AG196,1),"")</f>
        <v>C</v>
      </c>
      <c r="AG196" s="3">
        <v>210</v>
      </c>
      <c r="AH196" s="3" t="str">
        <f>IFERROR(MID(VLOOKUP($B196,Seqs!$A:$B,2,0),AI196,1),"")</f>
        <v>L</v>
      </c>
      <c r="AI196" s="3">
        <v>212</v>
      </c>
      <c r="AJ196" s="3" t="str">
        <f>IFERROR(MID(VLOOKUP($B196,Seqs!$A:$B,2,0),AK196,1),"")</f>
        <v>E</v>
      </c>
      <c r="AK196" s="3">
        <v>218</v>
      </c>
      <c r="AL196" s="3" t="str">
        <f>IFERROR(MID(VLOOKUP($B196,Seqs!$A:$B,2,0),AM196,1),"")</f>
        <v>A</v>
      </c>
      <c r="AM196" s="3">
        <v>253</v>
      </c>
      <c r="AN196" s="3" t="str">
        <f>IFERROR(MID(VLOOKUP($B196,Seqs!$A:$B,2,0),AO196,1),"")</f>
        <v>R</v>
      </c>
      <c r="AO196" s="3">
        <v>258</v>
      </c>
      <c r="AP196" s="3" t="str">
        <f>IFERROR(MID(VLOOKUP($B196,Seqs!$A:$B,2,0),AQ196,1),"")</f>
        <v>I</v>
      </c>
      <c r="AQ196" s="3">
        <v>293</v>
      </c>
      <c r="AR196" s="3" t="str">
        <f>IFERROR(MID(VLOOKUP($B196,Seqs!$A:$B,2,0),AS196,1),"")</f>
        <v>T</v>
      </c>
      <c r="AS196" s="3">
        <v>297</v>
      </c>
      <c r="AT196" s="3" t="str">
        <f>IFERROR(MID(VLOOKUP($B196,Seqs!$A:$B,2,0),AU196,1),"")</f>
        <v>I</v>
      </c>
      <c r="AU196" s="3">
        <v>329</v>
      </c>
      <c r="AV196" s="3" t="str">
        <f>IFERROR(MID(VLOOKUP($B196,Seqs!$A:$B,2,0),AW196,1),"")</f>
        <v>G</v>
      </c>
      <c r="AW196" s="3">
        <v>330</v>
      </c>
      <c r="AX196" s="3" t="str">
        <f>IFERROR(MID(VLOOKUP($B196,Seqs!$A:$B,2,0),AY196,1),"")</f>
        <v>K</v>
      </c>
      <c r="AY196" s="3">
        <v>342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ref="BB196:BB197" si="1652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ref="BC196:BC197" si="1653">_xlfn.AGGREGATE(9,6,CH196:CS196)-_xlfn.AGGREGATE(9,6,BV196:CG196)+12</f>
        <v>263</v>
      </c>
      <c r="BD196" s="2" t="s">
        <v>23</v>
      </c>
      <c r="BE196" s="3" t="s">
        <v>1370</v>
      </c>
      <c r="BF196" s="118">
        <v>5.5</v>
      </c>
      <c r="BG196" s="49" t="s">
        <v>1277</v>
      </c>
      <c r="BH196" s="49" t="s">
        <v>1277</v>
      </c>
      <c r="BI196" s="1"/>
      <c r="BJ196" s="70" t="s">
        <v>1283</v>
      </c>
      <c r="BK196" s="57" t="s">
        <v>1283</v>
      </c>
      <c r="BL196" s="57" t="s">
        <v>1283</v>
      </c>
      <c r="BM196" s="57" t="s">
        <v>1283</v>
      </c>
      <c r="BN196" s="57" t="s">
        <v>1283</v>
      </c>
      <c r="BO196" s="57" t="s">
        <v>1283</v>
      </c>
      <c r="BP196" s="57" t="s">
        <v>1283</v>
      </c>
      <c r="BQ196" s="57" t="s">
        <v>1283</v>
      </c>
      <c r="BR196" s="57" t="s">
        <v>1283</v>
      </c>
      <c r="BS196" s="57" t="s">
        <v>1283</v>
      </c>
      <c r="BT196" s="57" t="s">
        <v>1283</v>
      </c>
      <c r="BU196" s="57" t="s">
        <v>1283</v>
      </c>
      <c r="BV196" s="70">
        <f t="shared" ref="BV196:BV197" si="1654">E196</f>
        <v>55</v>
      </c>
      <c r="BW196" s="71">
        <f t="shared" ref="BW196:BW197" si="1655">I196</f>
        <v>87</v>
      </c>
      <c r="BX196" s="72">
        <f t="shared" ref="BX196:BX197" si="1656">M196</f>
        <v>91</v>
      </c>
      <c r="BY196" s="71">
        <f t="shared" ref="BY196:BY197" si="1657">Q196</f>
        <v>121</v>
      </c>
      <c r="BZ196" s="72">
        <f t="shared" ref="BZ196:BZ197" si="1658">U196</f>
        <v>125</v>
      </c>
      <c r="CA196" s="71">
        <f t="shared" ref="CA196:CA197" si="1659">Y196</f>
        <v>161</v>
      </c>
      <c r="CB196" s="72">
        <f t="shared" ref="CB196:CB197" si="1660">AC196</f>
        <v>171</v>
      </c>
      <c r="CC196" s="71">
        <f t="shared" ref="CC196:CC197" si="1661">AG196</f>
        <v>210</v>
      </c>
      <c r="CD196" s="72">
        <f t="shared" ref="CD196:CD197" si="1662">AK196</f>
        <v>218</v>
      </c>
      <c r="CE196" s="71">
        <f t="shared" ref="CE196:CE197" si="1663">AO196</f>
        <v>258</v>
      </c>
      <c r="CF196" s="72">
        <f t="shared" ref="CF196:CF197" si="1664">AS196</f>
        <v>297</v>
      </c>
      <c r="CG196" s="71">
        <f t="shared" ref="CG196:CG197" si="1665">AW196</f>
        <v>330</v>
      </c>
      <c r="CH196" s="70">
        <f t="shared" ref="CH196:CH197" si="1666">G196</f>
        <v>86</v>
      </c>
      <c r="CI196" s="71">
        <f t="shared" ref="CI196:CI197" si="1667">K196</f>
        <v>90</v>
      </c>
      <c r="CJ196" s="72">
        <f t="shared" ref="CJ196:CJ197" si="1668">O196</f>
        <v>120</v>
      </c>
      <c r="CK196" s="72">
        <f t="shared" ref="CK196:CK197" si="1669">S196</f>
        <v>124</v>
      </c>
      <c r="CL196" s="72">
        <f t="shared" ref="CL196:CL197" si="1670">W196</f>
        <v>160</v>
      </c>
      <c r="CM196" s="72">
        <f t="shared" ref="CM196:CM197" si="1671">AA196</f>
        <v>169</v>
      </c>
      <c r="CN196" s="72">
        <f t="shared" ref="CN196:CN197" si="1672">AE196</f>
        <v>197</v>
      </c>
      <c r="CO196" s="72">
        <f t="shared" ref="CO196:CO197" si="1673">AI196</f>
        <v>212</v>
      </c>
      <c r="CP196" s="72">
        <f t="shared" ref="CP196:CP197" si="1674">AM196</f>
        <v>253</v>
      </c>
      <c r="CQ196" s="72">
        <f t="shared" ref="CQ196:CQ197" si="1675">AQ196</f>
        <v>293</v>
      </c>
      <c r="CR196" s="72">
        <f t="shared" ref="CR196:CR197" si="1676">AU196</f>
        <v>329</v>
      </c>
      <c r="CS196" s="72">
        <f t="shared" ref="CS196:CS197" si="1677">AY196</f>
        <v>342</v>
      </c>
      <c r="CT196" s="23">
        <f t="shared" ref="CT196:CT197" si="1678">M196-K196</f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651"/>
        <v>ccr7_human_6QZH</v>
      </c>
      <c r="B197" s="3" t="s">
        <v>175</v>
      </c>
      <c r="C197" s="3" t="s">
        <v>1588</v>
      </c>
      <c r="D197" s="3" t="str">
        <f>IFERROR(MID(VLOOKUP($B197,Seqs!$A:$B,2,0),E197,1),"")</f>
        <v>F</v>
      </c>
      <c r="E197" s="3">
        <v>56</v>
      </c>
      <c r="F197" s="3" t="str">
        <f>IFERROR(MID(VLOOKUP($B197,Seqs!$A:$B,2,0),G197,1),"")</f>
        <v>Y</v>
      </c>
      <c r="G197" s="3">
        <v>85</v>
      </c>
      <c r="H197" s="3" t="str">
        <f>IFERROR(MID(VLOOKUP($B197,Seqs!$A:$B,2,0),I197,1),"")</f>
        <v>K</v>
      </c>
      <c r="I197" s="23">
        <v>87</v>
      </c>
      <c r="J197" s="3" t="str">
        <f>IFERROR(MID(VLOOKUP($B197,Seqs!$A:$B,2,0),K197,1),"")</f>
        <v>K</v>
      </c>
      <c r="K197" s="23">
        <v>90</v>
      </c>
      <c r="L197" s="3" t="str">
        <f>IFERROR(MID(VLOOKUP($B197,Seqs!$A:$B,2,0),M197,1),"")</f>
        <v>T</v>
      </c>
      <c r="M197" s="3">
        <v>91</v>
      </c>
      <c r="N197" s="3" t="str">
        <f>IFERROR(MID(VLOOKUP($B197,Seqs!$A:$B,2,0),O197,1),"")</f>
        <v>K</v>
      </c>
      <c r="O197" s="3">
        <v>120</v>
      </c>
      <c r="P197" s="3" t="str">
        <f>IFERROR(MID(VLOOKUP($B197,Seqs!$A:$B,2,0),Q197,1),"")</f>
        <v>S</v>
      </c>
      <c r="Q197" s="3">
        <v>121</v>
      </c>
      <c r="R197" s="3" t="str">
        <f>IFERROR(MID(VLOOKUP($B197,Seqs!$A:$B,2,0),S197,1),"")</f>
        <v>F</v>
      </c>
      <c r="S197" s="3">
        <v>124</v>
      </c>
      <c r="T197" s="3" t="str">
        <f>IFERROR(MID(VLOOKUP($B197,Seqs!$A:$B,2,0),U197,1),"")</f>
        <v>G</v>
      </c>
      <c r="U197" s="3">
        <v>125</v>
      </c>
      <c r="V197" s="3" t="str">
        <f>IFERROR(MID(VLOOKUP($B197,Seqs!$A:$B,2,0),W197,1),"")</f>
        <v>V</v>
      </c>
      <c r="W197" s="3">
        <v>159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H</v>
      </c>
      <c r="AC197" s="3">
        <v>167</v>
      </c>
      <c r="AD197" s="3" t="str">
        <f>IFERROR(MID(VLOOKUP($B197,Seqs!$A:$B,2,0),AE197,1),"")</f>
        <v>Y</v>
      </c>
      <c r="AE197" s="3">
        <v>196</v>
      </c>
      <c r="AF197" s="3" t="str">
        <f>IFERROR(MID(VLOOKUP($B197,Seqs!$A:$B,2,0),AG197,1),"")</f>
        <v>C</v>
      </c>
      <c r="AG197" s="3">
        <v>210</v>
      </c>
      <c r="AH197" s="3" t="str">
        <f>IFERROR(MID(VLOOKUP($B197,Seqs!$A:$B,2,0),AI197,1),"")</f>
        <v>L</v>
      </c>
      <c r="AI197" s="3">
        <v>212</v>
      </c>
      <c r="AJ197" s="3" t="str">
        <f>IFERROR(MID(VLOOKUP($B197,Seqs!$A:$B,2,0),AK197,1),"")</f>
        <v>F</v>
      </c>
      <c r="AK197" s="3">
        <v>220</v>
      </c>
      <c r="AL197" s="3" t="str">
        <f>IFERROR(MID(VLOOKUP($B197,Seqs!$A:$B,2,0),AM197,1),"")</f>
        <v>L</v>
      </c>
      <c r="AM197" s="3">
        <v>251</v>
      </c>
      <c r="AN197" s="3" t="str">
        <f>IFERROR(MID(VLOOKUP($B197,Seqs!$A:$B,2,0),AO197,1),"")</f>
        <v>K</v>
      </c>
      <c r="AO197" s="3">
        <v>263</v>
      </c>
      <c r="AP197" s="3" t="str">
        <f>IFERROR(MID(VLOOKUP($B197,Seqs!$A:$B,2,0),AQ197,1),"")</f>
        <v>Q</v>
      </c>
      <c r="AQ197" s="3">
        <v>286</v>
      </c>
      <c r="AR197" s="3" t="str">
        <f>IFERROR(MID(VLOOKUP($B197,Seqs!$A:$B,2,0),AS197,1),"")</f>
        <v>C</v>
      </c>
      <c r="AS197" s="3">
        <v>298</v>
      </c>
      <c r="AT197" s="3" t="str">
        <f>IFERROR(MID(VLOOKUP($B197,Seqs!$A:$B,2,0),AU197,1),"")</f>
        <v>F</v>
      </c>
      <c r="AU197" s="3">
        <v>328</v>
      </c>
      <c r="AV197" s="3" t="str">
        <f>IFERROR(MID(VLOOKUP($B197,Seqs!$A:$B,2,0),AW197,1),"")</f>
        <v>K</v>
      </c>
      <c r="AW197" s="3">
        <v>332</v>
      </c>
      <c r="AX197" s="3" t="str">
        <f>IFERROR(MID(VLOOKUP($B197,Seqs!$A:$B,2,0),AY197,1),"")</f>
        <v>F</v>
      </c>
      <c r="AY197" s="3">
        <v>341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 t="shared" si="1652"/>
        <v>1</v>
      </c>
      <c r="BC197" s="23">
        <f t="shared" si="1653"/>
        <v>234</v>
      </c>
      <c r="BD197" s="2" t="s">
        <v>1372</v>
      </c>
      <c r="BE197" s="3" t="s">
        <v>1370</v>
      </c>
      <c r="BF197" s="118">
        <v>2.1</v>
      </c>
      <c r="BG197" s="49" t="s">
        <v>1</v>
      </c>
      <c r="BH197" s="49" t="s">
        <v>1</v>
      </c>
      <c r="BI197" s="1"/>
      <c r="BJ197" s="70" t="s">
        <v>1283</v>
      </c>
      <c r="BK197" s="57" t="s">
        <v>1283</v>
      </c>
      <c r="BL197" s="57" t="s">
        <v>1283</v>
      </c>
      <c r="BM197" s="57" t="s">
        <v>1283</v>
      </c>
      <c r="BN197" s="57" t="s">
        <v>1283</v>
      </c>
      <c r="BO197" s="57" t="s">
        <v>1283</v>
      </c>
      <c r="BP197" s="57" t="s">
        <v>1283</v>
      </c>
      <c r="BQ197" s="57" t="s">
        <v>1283</v>
      </c>
      <c r="BR197" s="57" t="s">
        <v>1283</v>
      </c>
      <c r="BS197" s="57" t="s">
        <v>1283</v>
      </c>
      <c r="BT197" s="57" t="s">
        <v>1283</v>
      </c>
      <c r="BU197" s="57" t="s">
        <v>1283</v>
      </c>
      <c r="BV197" s="70">
        <f t="shared" si="1654"/>
        <v>56</v>
      </c>
      <c r="BW197" s="71">
        <f t="shared" si="1655"/>
        <v>87</v>
      </c>
      <c r="BX197" s="72">
        <f t="shared" si="1656"/>
        <v>91</v>
      </c>
      <c r="BY197" s="71">
        <f t="shared" si="1657"/>
        <v>121</v>
      </c>
      <c r="BZ197" s="72">
        <f t="shared" si="1658"/>
        <v>125</v>
      </c>
      <c r="CA197" s="71" t="str">
        <f t="shared" si="1659"/>
        <v>-</v>
      </c>
      <c r="CB197" s="72">
        <f t="shared" si="1660"/>
        <v>167</v>
      </c>
      <c r="CC197" s="71">
        <f t="shared" si="1661"/>
        <v>210</v>
      </c>
      <c r="CD197" s="72">
        <f t="shared" si="1662"/>
        <v>220</v>
      </c>
      <c r="CE197" s="71">
        <f t="shared" si="1663"/>
        <v>263</v>
      </c>
      <c r="CF197" s="72">
        <f t="shared" si="1664"/>
        <v>298</v>
      </c>
      <c r="CG197" s="71">
        <f t="shared" si="1665"/>
        <v>332</v>
      </c>
      <c r="CH197" s="70">
        <f t="shared" si="1666"/>
        <v>85</v>
      </c>
      <c r="CI197" s="71">
        <f t="shared" si="1667"/>
        <v>90</v>
      </c>
      <c r="CJ197" s="72">
        <f t="shared" si="1668"/>
        <v>120</v>
      </c>
      <c r="CK197" s="72">
        <f t="shared" si="1669"/>
        <v>124</v>
      </c>
      <c r="CL197" s="72">
        <f t="shared" si="1670"/>
        <v>159</v>
      </c>
      <c r="CM197" s="72" t="str">
        <f t="shared" si="1671"/>
        <v>-</v>
      </c>
      <c r="CN197" s="72">
        <f t="shared" si="1672"/>
        <v>196</v>
      </c>
      <c r="CO197" s="72">
        <f t="shared" si="1673"/>
        <v>212</v>
      </c>
      <c r="CP197" s="72">
        <f t="shared" si="1674"/>
        <v>251</v>
      </c>
      <c r="CQ197" s="72">
        <f t="shared" si="1675"/>
        <v>286</v>
      </c>
      <c r="CR197" s="72">
        <f t="shared" si="1676"/>
        <v>328</v>
      </c>
      <c r="CS197" s="72">
        <f t="shared" si="1677"/>
        <v>341</v>
      </c>
      <c r="CT197" s="23">
        <f t="shared" si="1678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231"/>
        <v>ccr9_human__wt</v>
      </c>
      <c r="B198" s="3" t="s">
        <v>177</v>
      </c>
      <c r="C198" s="3" t="s">
        <v>100</v>
      </c>
      <c r="D198" s="3" t="str">
        <f>IFERROR(MID(VLOOKUP($B198,Seqs!$A:$B,2,0),E198,1),"")</f>
        <v>V</v>
      </c>
      <c r="E198" s="3">
        <v>43</v>
      </c>
      <c r="F198" s="3" t="str">
        <f>IFERROR(MID(VLOOKUP($B198,Seqs!$A:$B,2,0),G198,1),"")</f>
        <v>C</v>
      </c>
      <c r="G198" s="3">
        <v>76</v>
      </c>
      <c r="H198" s="3" t="str">
        <f>IFERROR(MID(VLOOKUP($B198,Seqs!$A:$B,2,0),I198,1),"")</f>
        <v>T</v>
      </c>
      <c r="I198" s="23">
        <v>77</v>
      </c>
      <c r="J198" s="3" t="str">
        <f>IFERROR(MID(VLOOKUP($B198,Seqs!$A:$B,2,0),K198,1),"")</f>
        <v>K</v>
      </c>
      <c r="K198" s="23">
        <v>80</v>
      </c>
      <c r="L198" s="3" t="str">
        <f>IFERROR(MID(VLOOKUP($B198,Seqs!$A:$B,2,0),M198,1),"")</f>
        <v>T</v>
      </c>
      <c r="M198" s="3">
        <v>81</v>
      </c>
      <c r="N198" s="3" t="str">
        <f>IFERROR(MID(VLOOKUP($B198,Seqs!$A:$B,2,0),O198,1),"")</f>
        <v>D</v>
      </c>
      <c r="O198" s="3">
        <v>110</v>
      </c>
      <c r="P198" s="3" t="str">
        <f>IFERROR(MID(VLOOKUP($B198,Seqs!$A:$B,2,0),Q198,1),"")</f>
        <v>Q</v>
      </c>
      <c r="Q198" s="3">
        <v>111</v>
      </c>
      <c r="R198" s="3" t="str">
        <f>IFERROR(MID(VLOOKUP($B198,Seqs!$A:$B,2,0),S198,1),"")</f>
        <v>F</v>
      </c>
      <c r="S198" s="3">
        <v>114</v>
      </c>
      <c r="T198" s="3" t="str">
        <f>IFERROR(MID(VLOOKUP($B198,Seqs!$A:$B,2,0),U198,1),"")</f>
        <v>Q</v>
      </c>
      <c r="U198" s="3">
        <v>115</v>
      </c>
      <c r="V198" s="3" t="str">
        <f>IFERROR(MID(VLOOKUP($B198,Seqs!$A:$B,2,0),W198,1),"")</f>
        <v>Q</v>
      </c>
      <c r="W198" s="3">
        <v>150</v>
      </c>
      <c r="X198" s="3" t="str">
        <f>IFERROR(MID(VLOOKUP($B198,Seqs!$A:$B,2,0),Y198,1),"")</f>
        <v>A</v>
      </c>
      <c r="Y198" s="3">
        <v>151</v>
      </c>
      <c r="Z198" s="3" t="str">
        <f>IFERROR(MID(VLOOKUP($B198,Seqs!$A:$B,2,0),AA198,1),"")</f>
        <v>W</v>
      </c>
      <c r="AA198" s="3">
        <v>157</v>
      </c>
      <c r="AB198" s="3" t="str">
        <f>IFERROR(MID(VLOOKUP($B198,Seqs!$A:$B,2,0),AC198,1),"")</f>
        <v>R</v>
      </c>
      <c r="AC198" s="3">
        <v>158</v>
      </c>
      <c r="AD198" s="3" t="str">
        <f>IFERROR(MID(VLOOKUP($B198,Seqs!$A:$B,2,0),AE198,1),"")</f>
        <v>S</v>
      </c>
      <c r="AE198" s="3">
        <v>187</v>
      </c>
      <c r="AF198" s="3" t="str">
        <f>IFERROR(MID(VLOOKUP($B198,Seqs!$A:$B,2,0),AG198,1),"")</f>
        <v>C</v>
      </c>
      <c r="AG198" s="3">
        <v>198</v>
      </c>
      <c r="AH198" s="3" t="str">
        <f>IFERROR(MID(VLOOKUP($B198,Seqs!$A:$B,2,0),AI198,1),"")</f>
        <v>M</v>
      </c>
      <c r="AI198" s="3">
        <v>200</v>
      </c>
      <c r="AJ198" s="3" t="str">
        <f>IFERROR(MID(VLOOKUP($B198,Seqs!$A:$B,2,0),AK198,1),"")</f>
        <v>K</v>
      </c>
      <c r="AK198" s="3">
        <v>209</v>
      </c>
      <c r="AL198" s="3" t="str">
        <f>IFERROR(MID(VLOOKUP($B198,Seqs!$A:$B,2,0),AM198,1),"")</f>
        <v>A</v>
      </c>
      <c r="AM198" s="3">
        <v>244</v>
      </c>
      <c r="AN198" s="3" t="str">
        <f>IFERROR(MID(VLOOKUP($B198,Seqs!$A:$B,2,0),AO198,1),"")</f>
        <v>S</v>
      </c>
      <c r="AO198" s="3">
        <v>247</v>
      </c>
      <c r="AP198" s="3" t="str">
        <f>IFERROR(MID(VLOOKUP($B198,Seqs!$A:$B,2,0),AQ198,1),"")</f>
        <v>M</v>
      </c>
      <c r="AQ198" s="3">
        <v>284</v>
      </c>
      <c r="AR198" s="3" t="str">
        <f>IFERROR(MID(VLOOKUP($B198,Seqs!$A:$B,2,0),AS198,1),"")</f>
        <v>N</v>
      </c>
      <c r="AS198" s="3">
        <v>288</v>
      </c>
      <c r="AT198" s="3" t="str">
        <f>IFERROR(MID(VLOOKUP($B198,Seqs!$A:$B,2,0),AU198,1),"")</f>
        <v>V</v>
      </c>
      <c r="AU198" s="3">
        <v>320</v>
      </c>
      <c r="AV198" s="3" t="str">
        <f>IFERROR(MID(VLOOKUP($B198,Seqs!$A:$B,2,0),AW198,1),"")</f>
        <v>G</v>
      </c>
      <c r="AW198" s="3">
        <v>321</v>
      </c>
      <c r="AX198" s="3" t="str">
        <f>IFERROR(MID(VLOOKUP($B198,Seqs!$A:$B,2,0),AY198,1),"")</f>
        <v>A</v>
      </c>
      <c r="AY198" s="3">
        <v>341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 t="shared" si="1232"/>
        <v>1</v>
      </c>
      <c r="BC198" s="23">
        <f t="shared" si="981"/>
        <v>276</v>
      </c>
      <c r="BD198" s="56" t="s">
        <v>23</v>
      </c>
      <c r="BE198" s="3" t="s">
        <v>23</v>
      </c>
      <c r="BF198" s="118" t="s">
        <v>23</v>
      </c>
      <c r="BG198" s="49" t="s">
        <v>1368</v>
      </c>
      <c r="BH198" s="49" t="s">
        <v>1373</v>
      </c>
      <c r="BI198" s="1"/>
      <c r="BJ198" s="70" t="s">
        <v>1283</v>
      </c>
      <c r="BK198" s="57" t="s">
        <v>1283</v>
      </c>
      <c r="BL198" s="57" t="s">
        <v>1283</v>
      </c>
      <c r="BM198" s="57" t="s">
        <v>1283</v>
      </c>
      <c r="BN198" s="57" t="s">
        <v>1283</v>
      </c>
      <c r="BO198" s="57" t="s">
        <v>1283</v>
      </c>
      <c r="BP198" s="57" t="s">
        <v>1283</v>
      </c>
      <c r="BQ198" s="57" t="s">
        <v>1283</v>
      </c>
      <c r="BR198" s="57" t="s">
        <v>1283</v>
      </c>
      <c r="BS198" s="57" t="s">
        <v>1283</v>
      </c>
      <c r="BT198" s="57" t="s">
        <v>1283</v>
      </c>
      <c r="BU198" s="57" t="s">
        <v>1283</v>
      </c>
      <c r="BV198" s="70">
        <f t="shared" si="982"/>
        <v>43</v>
      </c>
      <c r="BW198" s="71">
        <f t="shared" si="983"/>
        <v>77</v>
      </c>
      <c r="BX198" s="72">
        <f t="shared" si="984"/>
        <v>81</v>
      </c>
      <c r="BY198" s="71">
        <f t="shared" si="985"/>
        <v>111</v>
      </c>
      <c r="BZ198" s="72">
        <f t="shared" si="986"/>
        <v>115</v>
      </c>
      <c r="CA198" s="71">
        <f t="shared" si="987"/>
        <v>151</v>
      </c>
      <c r="CB198" s="72">
        <f t="shared" si="988"/>
        <v>158</v>
      </c>
      <c r="CC198" s="71">
        <f t="shared" si="989"/>
        <v>198</v>
      </c>
      <c r="CD198" s="72">
        <f t="shared" si="990"/>
        <v>209</v>
      </c>
      <c r="CE198" s="71">
        <f t="shared" si="991"/>
        <v>247</v>
      </c>
      <c r="CF198" s="72">
        <f t="shared" si="992"/>
        <v>288</v>
      </c>
      <c r="CG198" s="71">
        <f t="shared" si="993"/>
        <v>321</v>
      </c>
      <c r="CH198" s="70">
        <f t="shared" si="994"/>
        <v>76</v>
      </c>
      <c r="CI198" s="71">
        <f t="shared" si="995"/>
        <v>80</v>
      </c>
      <c r="CJ198" s="72">
        <f t="shared" si="996"/>
        <v>110</v>
      </c>
      <c r="CK198" s="72">
        <f t="shared" si="997"/>
        <v>114</v>
      </c>
      <c r="CL198" s="72">
        <f t="shared" si="998"/>
        <v>150</v>
      </c>
      <c r="CM198" s="72">
        <f t="shared" si="999"/>
        <v>157</v>
      </c>
      <c r="CN198" s="72">
        <f t="shared" si="1000"/>
        <v>187</v>
      </c>
      <c r="CO198" s="72">
        <f t="shared" si="1001"/>
        <v>200</v>
      </c>
      <c r="CP198" s="72">
        <f t="shared" si="1002"/>
        <v>244</v>
      </c>
      <c r="CQ198" s="72">
        <f t="shared" si="1003"/>
        <v>284</v>
      </c>
      <c r="CR198" s="72">
        <f t="shared" si="1004"/>
        <v>320</v>
      </c>
      <c r="CS198" s="72">
        <f t="shared" si="1005"/>
        <v>341</v>
      </c>
      <c r="CT198" s="23">
        <f t="shared" si="1006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231"/>
        <v>ccr9_human_5LWE</v>
      </c>
      <c r="B199" s="3" t="s">
        <v>177</v>
      </c>
      <c r="C199" s="3" t="s">
        <v>1361</v>
      </c>
      <c r="D199" s="3" t="str">
        <f>IFERROR(MID(VLOOKUP($B199,Seqs!$A:$B,2,0),E199,1),"")</f>
        <v>V</v>
      </c>
      <c r="E199" s="3">
        <v>43</v>
      </c>
      <c r="F199" s="3" t="str">
        <f>IFERROR(MID(VLOOKUP($B199,Seqs!$A:$B,2,0),G199,1),"")</f>
        <v>C</v>
      </c>
      <c r="G199" s="3">
        <v>76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T</v>
      </c>
      <c r="M199" s="3">
        <v>81</v>
      </c>
      <c r="N199" s="3" t="str">
        <f>IFERROR(MID(VLOOKUP($B199,Seqs!$A:$B,2,0),O199,1),"")</f>
        <v>A</v>
      </c>
      <c r="O199" s="3">
        <v>108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C</v>
      </c>
      <c r="U199" s="3">
        <v>119</v>
      </c>
      <c r="V199" s="3" t="str">
        <f>IFERROR(MID(VLOOKUP($B199,Seqs!$A:$B,2,0),W199,1),"")</f>
        <v>Q</v>
      </c>
      <c r="W199" s="3">
        <v>150</v>
      </c>
      <c r="X199" s="3" t="str">
        <f>IFERROR(MID(VLOOKUP($B199,Seqs!$A:$B,2,0),Y199,1),"")</f>
        <v>A</v>
      </c>
      <c r="Y199" s="3">
        <v>151</v>
      </c>
      <c r="Z199" s="3" t="str">
        <f>IFERROR(MID(VLOOKUP($B199,Seqs!$A:$B,2,0),AA199,1),"")</f>
        <v>W</v>
      </c>
      <c r="AA199" s="3">
        <v>157</v>
      </c>
      <c r="AB199" s="3" t="str">
        <f>IFERROR(MID(VLOOKUP($B199,Seqs!$A:$B,2,0),AC199,1),"")</f>
        <v>R</v>
      </c>
      <c r="AC199" s="3">
        <v>158</v>
      </c>
      <c r="AD199" s="3" t="str">
        <f>IFERROR(MID(VLOOKUP($B199,Seqs!$A:$B,2,0),AE199,1),"")</f>
        <v>I</v>
      </c>
      <c r="AE199" s="3">
        <v>184</v>
      </c>
      <c r="AF199" s="3" t="str">
        <f>IFERROR(MID(VLOOKUP($B199,Seqs!$A:$B,2,0),AG199,1),"")</f>
        <v/>
      </c>
      <c r="AG199" s="3" t="s">
        <v>23</v>
      </c>
      <c r="AH199" s="3" t="str">
        <f>IFERROR(MID(VLOOKUP($B199,Seqs!$A:$B,2,0),AI199,1),"")</f>
        <v/>
      </c>
      <c r="AI199" s="3" t="s">
        <v>23</v>
      </c>
      <c r="AJ199" s="3" t="str">
        <f>IFERROR(MID(VLOOKUP($B199,Seqs!$A:$B,2,0),AK199,1),"")</f>
        <v/>
      </c>
      <c r="AK199" s="3" t="s">
        <v>23</v>
      </c>
      <c r="AL199" s="3" t="str">
        <f>IFERROR(MID(VLOOKUP($B199,Seqs!$A:$B,2,0),AM199,1),"")</f>
        <v/>
      </c>
      <c r="AM199" s="3" t="s">
        <v>23</v>
      </c>
      <c r="AN199" s="3" t="str">
        <f>IFERROR(MID(VLOOKUP($B199,Seqs!$A:$B,2,0),AO199,1),"")</f>
        <v>S</v>
      </c>
      <c r="AO199" s="3">
        <v>247</v>
      </c>
      <c r="AP199" s="3" t="str">
        <f>IFERROR(MID(VLOOKUP($B199,Seqs!$A:$B,2,0),AQ199,1),"")</f>
        <v>M</v>
      </c>
      <c r="AQ199" s="3">
        <v>284</v>
      </c>
      <c r="AR199" s="3" t="str">
        <f>IFERROR(MID(VLOOKUP($B199,Seqs!$A:$B,2,0),AS199,1),"")</f>
        <v>N</v>
      </c>
      <c r="AS199" s="3">
        <v>288</v>
      </c>
      <c r="AT199" s="3" t="str">
        <f>IFERROR(MID(VLOOKUP($B199,Seqs!$A:$B,2,0),AU199,1),"")</f>
        <v>V</v>
      </c>
      <c r="AU199" s="3">
        <v>320</v>
      </c>
      <c r="AV199" s="3" t="str">
        <f>IFERROR(MID(VLOOKUP($B199,Seqs!$A:$B,2,0),AW199,1),"")</f>
        <v>G</v>
      </c>
      <c r="AW199" s="3">
        <v>321</v>
      </c>
      <c r="AX199" s="3" t="str">
        <f>IFERROR(MID(VLOOKUP($B199,Seqs!$A:$B,2,0),AY199,1),"")</f>
        <v>A</v>
      </c>
      <c r="AY199" s="3">
        <v>341</v>
      </c>
      <c r="AZ199" s="77" t="str">
        <f>VLOOKUP(B199,Classification!A:D,2,0)</f>
        <v>A</v>
      </c>
      <c r="BA199" s="94" t="str">
        <f>VLOOKUP(B199,Classification!A:D,4,0)</f>
        <v>Chemokine</v>
      </c>
      <c r="BB199" s="27" t="b">
        <f t="shared" si="1232"/>
        <v>0</v>
      </c>
      <c r="BC199" s="23">
        <f t="shared" si="981"/>
        <v>224</v>
      </c>
      <c r="BD199" s="16" t="s">
        <v>1372</v>
      </c>
      <c r="BE199" s="3" t="s">
        <v>1370</v>
      </c>
      <c r="BF199" s="118">
        <v>2.8</v>
      </c>
      <c r="BG199" s="49" t="s">
        <v>1373</v>
      </c>
      <c r="BH199" s="49" t="s">
        <v>1373</v>
      </c>
      <c r="BI199" s="1"/>
      <c r="BJ199" s="70" t="s">
        <v>1283</v>
      </c>
      <c r="BK199" s="57" t="s">
        <v>1283</v>
      </c>
      <c r="BL199" s="57" t="s">
        <v>1283</v>
      </c>
      <c r="BM199" s="57" t="s">
        <v>1283</v>
      </c>
      <c r="BN199" s="57" t="s">
        <v>1283</v>
      </c>
      <c r="BO199" s="57" t="s">
        <v>1283</v>
      </c>
      <c r="BP199" s="57" t="s">
        <v>1283</v>
      </c>
      <c r="BQ199" s="57" t="s">
        <v>1283</v>
      </c>
      <c r="BR199" s="57" t="s">
        <v>1283</v>
      </c>
      <c r="BS199" s="57" t="s">
        <v>1283</v>
      </c>
      <c r="BT199" s="57" t="s">
        <v>1283</v>
      </c>
      <c r="BU199" s="57" t="s">
        <v>1283</v>
      </c>
      <c r="BV199" s="70">
        <f t="shared" si="982"/>
        <v>43</v>
      </c>
      <c r="BW199" s="71" t="str">
        <f t="shared" si="983"/>
        <v>-</v>
      </c>
      <c r="BX199" s="72">
        <f t="shared" si="984"/>
        <v>81</v>
      </c>
      <c r="BY199" s="71" t="str">
        <f t="shared" si="985"/>
        <v>-</v>
      </c>
      <c r="BZ199" s="72">
        <f t="shared" si="986"/>
        <v>119</v>
      </c>
      <c r="CA199" s="71">
        <f t="shared" si="987"/>
        <v>151</v>
      </c>
      <c r="CB199" s="72">
        <f t="shared" si="988"/>
        <v>158</v>
      </c>
      <c r="CC199" s="71" t="str">
        <f t="shared" si="989"/>
        <v>-</v>
      </c>
      <c r="CD199" s="72" t="str">
        <f t="shared" si="990"/>
        <v>-</v>
      </c>
      <c r="CE199" s="71">
        <f t="shared" si="991"/>
        <v>247</v>
      </c>
      <c r="CF199" s="72">
        <f t="shared" si="992"/>
        <v>288</v>
      </c>
      <c r="CG199" s="71">
        <f t="shared" si="993"/>
        <v>321</v>
      </c>
      <c r="CH199" s="70">
        <f t="shared" si="994"/>
        <v>76</v>
      </c>
      <c r="CI199" s="71" t="str">
        <f t="shared" si="995"/>
        <v>-</v>
      </c>
      <c r="CJ199" s="72">
        <f t="shared" si="996"/>
        <v>108</v>
      </c>
      <c r="CK199" s="72" t="str">
        <f t="shared" si="997"/>
        <v>-</v>
      </c>
      <c r="CL199" s="72">
        <f t="shared" si="998"/>
        <v>150</v>
      </c>
      <c r="CM199" s="72">
        <f t="shared" si="999"/>
        <v>157</v>
      </c>
      <c r="CN199" s="72">
        <f t="shared" si="1000"/>
        <v>184</v>
      </c>
      <c r="CO199" s="72" t="str">
        <f t="shared" si="1001"/>
        <v>-</v>
      </c>
      <c r="CP199" s="72" t="str">
        <f t="shared" si="1002"/>
        <v>-</v>
      </c>
      <c r="CQ199" s="72">
        <f t="shared" si="1003"/>
        <v>284</v>
      </c>
      <c r="CR199" s="72">
        <f t="shared" si="1004"/>
        <v>320</v>
      </c>
      <c r="CS199" s="72">
        <f t="shared" si="1005"/>
        <v>341</v>
      </c>
      <c r="CT199" s="23" t="e">
        <f t="shared" si="1006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>CONCATENATE(B200,"_",C200)</f>
        <v>ccr9_human_5LWE_dist</v>
      </c>
      <c r="B200" s="3" t="s">
        <v>177</v>
      </c>
      <c r="C200" s="3" t="s">
        <v>1380</v>
      </c>
      <c r="D200" s="3" t="str">
        <f>IFERROR(MID(VLOOKUP($B200,Seqs!$A:$B,2,0),E200,1),"")</f>
        <v>V</v>
      </c>
      <c r="E200" s="3">
        <v>43</v>
      </c>
      <c r="F200" s="3" t="str">
        <f>IFERROR(MID(VLOOKUP($B200,Seqs!$A:$B,2,0),G200,1),"")</f>
        <v>C</v>
      </c>
      <c r="G200" s="3">
        <v>76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T</v>
      </c>
      <c r="M200" s="3">
        <v>81</v>
      </c>
      <c r="N200" s="3" t="str">
        <f>IFERROR(MID(VLOOKUP($B200,Seqs!$A:$B,2,0),O200,1),"")</f>
        <v>A</v>
      </c>
      <c r="O200" s="3">
        <v>108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C</v>
      </c>
      <c r="U200" s="3">
        <v>119</v>
      </c>
      <c r="V200" s="3" t="str">
        <f>IFERROR(MID(VLOOKUP($B200,Seqs!$A:$B,2,0),W200,1),"")</f>
        <v>Q</v>
      </c>
      <c r="W200" s="3">
        <v>150</v>
      </c>
      <c r="X200" s="3" t="str">
        <f>IFERROR(MID(VLOOKUP($B200,Seqs!$A:$B,2,0),Y200,1),"")</f>
        <v>A</v>
      </c>
      <c r="Y200" s="3">
        <v>151</v>
      </c>
      <c r="Z200" s="3" t="str">
        <f>IFERROR(MID(VLOOKUP($B200,Seqs!$A:$B,2,0),AA200,1),"")</f>
        <v>W</v>
      </c>
      <c r="AA200" s="3">
        <v>157</v>
      </c>
      <c r="AB200" s="3" t="str">
        <f>IFERROR(MID(VLOOKUP($B200,Seqs!$A:$B,2,0),AC200,1),"")</f>
        <v>R</v>
      </c>
      <c r="AC200" s="3">
        <v>158</v>
      </c>
      <c r="AD200" s="3" t="str">
        <f>IFERROR(MID(VLOOKUP($B200,Seqs!$A:$B,2,0),AE200,1),"")</f>
        <v>I</v>
      </c>
      <c r="AE200" s="3">
        <v>184</v>
      </c>
      <c r="AF200" s="3" t="str">
        <f>IFERROR(MID(VLOOKUP($B200,Seqs!$A:$B,2,0),AG200,1),"")</f>
        <v/>
      </c>
      <c r="AG200" s="3" t="s">
        <v>23</v>
      </c>
      <c r="AH200" s="3" t="str">
        <f>IFERROR(MID(VLOOKUP($B200,Seqs!$A:$B,2,0),AI200,1),"")</f>
        <v/>
      </c>
      <c r="AI200" s="3" t="s">
        <v>23</v>
      </c>
      <c r="AJ200" s="3" t="str">
        <f>IFERROR(MID(VLOOKUP($B200,Seqs!$A:$B,2,0),AK200,1),"")</f>
        <v>K</v>
      </c>
      <c r="AK200" s="3">
        <v>209</v>
      </c>
      <c r="AL200" s="3" t="str">
        <f>IFERROR(MID(VLOOKUP($B200,Seqs!$A:$B,2,0),AM200,1),"")</f>
        <v>A</v>
      </c>
      <c r="AM200" s="3">
        <v>244</v>
      </c>
      <c r="AN200" s="3" t="str">
        <f>IFERROR(MID(VLOOKUP($B200,Seqs!$A:$B,2,0),AO200,1),"")</f>
        <v>S</v>
      </c>
      <c r="AO200" s="3">
        <v>247</v>
      </c>
      <c r="AP200" s="3" t="str">
        <f>IFERROR(MID(VLOOKUP($B200,Seqs!$A:$B,2,0),AQ200,1),"")</f>
        <v>M</v>
      </c>
      <c r="AQ200" s="3">
        <v>284</v>
      </c>
      <c r="AR200" s="3" t="str">
        <f>IFERROR(MID(VLOOKUP($B200,Seqs!$A:$B,2,0),AS200,1),"")</f>
        <v>N</v>
      </c>
      <c r="AS200" s="3">
        <v>288</v>
      </c>
      <c r="AT200" s="3" t="str">
        <f>IFERROR(MID(VLOOKUP($B200,Seqs!$A:$B,2,0),AU200,1),"")</f>
        <v>V</v>
      </c>
      <c r="AU200" s="3">
        <v>320</v>
      </c>
      <c r="AV200" s="3" t="str">
        <f>IFERROR(MID(VLOOKUP($B200,Seqs!$A:$B,2,0),AW200,1),"")</f>
        <v>G</v>
      </c>
      <c r="AW200" s="3">
        <v>321</v>
      </c>
      <c r="AX200" s="3" t="str">
        <f>IFERROR(MID(VLOOKUP($B200,Seqs!$A:$B,2,0),AY200,1),"")</f>
        <v>A</v>
      </c>
      <c r="AY200" s="3">
        <v>341</v>
      </c>
      <c r="AZ200" s="77" t="str">
        <f>VLOOKUP(B200,Classification!A:D,2,0)</f>
        <v>A</v>
      </c>
      <c r="BA200" s="94" t="str">
        <f>VLOOKUP(B200,Classification!A:D,4,0)</f>
        <v>Chemokine</v>
      </c>
      <c r="BB200" s="27" t="b">
        <f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>_xlfn.AGGREGATE(9,6,CH200:CS200)-_xlfn.AGGREGATE(9,6,BV200:CG200)+12</f>
        <v>259</v>
      </c>
      <c r="BD200" s="16" t="s">
        <v>23</v>
      </c>
      <c r="BE200" s="3" t="s">
        <v>1370</v>
      </c>
      <c r="BF200" s="118">
        <v>2.8</v>
      </c>
      <c r="BG200" s="49" t="s">
        <v>1373</v>
      </c>
      <c r="BH200" s="49" t="s">
        <v>1373</v>
      </c>
      <c r="BI200" s="1"/>
      <c r="BJ200" s="70" t="s">
        <v>1283</v>
      </c>
      <c r="BK200" s="57" t="s">
        <v>1283</v>
      </c>
      <c r="BL200" s="57" t="s">
        <v>1283</v>
      </c>
      <c r="BM200" s="57" t="s">
        <v>1283</v>
      </c>
      <c r="BN200" s="57" t="s">
        <v>1283</v>
      </c>
      <c r="BO200" s="57" t="s">
        <v>1283</v>
      </c>
      <c r="BP200" s="57" t="s">
        <v>1283</v>
      </c>
      <c r="BQ200" s="57" t="s">
        <v>1283</v>
      </c>
      <c r="BR200" s="57" t="s">
        <v>1283</v>
      </c>
      <c r="BS200" s="57" t="s">
        <v>1283</v>
      </c>
      <c r="BT200" s="57" t="s">
        <v>1283</v>
      </c>
      <c r="BU200" s="57" t="s">
        <v>1283</v>
      </c>
      <c r="BV200" s="70">
        <f>E200</f>
        <v>43</v>
      </c>
      <c r="BW200" s="71" t="str">
        <f>I200</f>
        <v>-</v>
      </c>
      <c r="BX200" s="72">
        <f>M200</f>
        <v>81</v>
      </c>
      <c r="BY200" s="71" t="str">
        <f>Q200</f>
        <v>-</v>
      </c>
      <c r="BZ200" s="72">
        <f>U200</f>
        <v>119</v>
      </c>
      <c r="CA200" s="71">
        <f>Y200</f>
        <v>151</v>
      </c>
      <c r="CB200" s="72">
        <f>AC200</f>
        <v>158</v>
      </c>
      <c r="CC200" s="71" t="str">
        <f>AG200</f>
        <v>-</v>
      </c>
      <c r="CD200" s="72">
        <f>AK200</f>
        <v>209</v>
      </c>
      <c r="CE200" s="71">
        <f>AO200</f>
        <v>247</v>
      </c>
      <c r="CF200" s="72">
        <f>AS200</f>
        <v>288</v>
      </c>
      <c r="CG200" s="71">
        <f>AW200</f>
        <v>321</v>
      </c>
      <c r="CH200" s="70">
        <f>G200</f>
        <v>76</v>
      </c>
      <c r="CI200" s="71" t="str">
        <f>K200</f>
        <v>-</v>
      </c>
      <c r="CJ200" s="72">
        <f>O200</f>
        <v>108</v>
      </c>
      <c r="CK200" s="72" t="str">
        <f>S200</f>
        <v>-</v>
      </c>
      <c r="CL200" s="72">
        <f>W200</f>
        <v>150</v>
      </c>
      <c r="CM200" s="72">
        <f>AA200</f>
        <v>157</v>
      </c>
      <c r="CN200" s="72">
        <f>AE200</f>
        <v>184</v>
      </c>
      <c r="CO200" s="72" t="str">
        <f>AI200</f>
        <v>-</v>
      </c>
      <c r="CP200" s="72">
        <f>AM200</f>
        <v>244</v>
      </c>
      <c r="CQ200" s="72">
        <f>AQ200</f>
        <v>284</v>
      </c>
      <c r="CR200" s="72">
        <f>AU200</f>
        <v>320</v>
      </c>
      <c r="CS200" s="72">
        <f>AY200</f>
        <v>341</v>
      </c>
      <c r="CT200" s="23" t="e">
        <f>M200-K200</f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231"/>
        <v>cltr1_human__wt</v>
      </c>
      <c r="B201" s="3" t="s">
        <v>179</v>
      </c>
      <c r="C201" s="3" t="s">
        <v>100</v>
      </c>
      <c r="D201" s="3" t="str">
        <f>IFERROR(MID(VLOOKUP($B201,Seqs!$A:$B,2,0),E201,1),"")</f>
        <v>S</v>
      </c>
      <c r="E201" s="3">
        <v>11</v>
      </c>
      <c r="F201" s="3" t="str">
        <f>IFERROR(MID(VLOOKUP($B201,Seqs!$A:$B,2,0),G201,1),"")</f>
        <v>T</v>
      </c>
      <c r="G201" s="3">
        <v>51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56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>I</v>
      </c>
      <c r="Q201" s="3">
        <v>88</v>
      </c>
      <c r="R201" s="3" t="str">
        <f>IFERROR(MID(VLOOKUP($B201,Seqs!$A:$B,2,0),S201,1),"")</f>
        <v>F</v>
      </c>
      <c r="S201" s="3">
        <v>91</v>
      </c>
      <c r="T201" s="3" t="str">
        <f>IFERROR(MID(VLOOKUP($B201,Seqs!$A:$B,2,0),U201,1),"")</f>
        <v>G</v>
      </c>
      <c r="U201" s="3">
        <v>92</v>
      </c>
      <c r="V201" s="3" t="str">
        <f>IFERROR(MID(VLOOKUP($B201,Seqs!$A:$B,2,0),W201,1),"")</f>
        <v>F</v>
      </c>
      <c r="W201" s="3">
        <v>127</v>
      </c>
      <c r="X201" s="3" t="str">
        <f>IFERROR(MID(VLOOKUP($B201,Seqs!$A:$B,2,0),Y201,1),"")</f>
        <v>P</v>
      </c>
      <c r="Y201" s="3">
        <v>128</v>
      </c>
      <c r="Z201" s="3" t="str">
        <f>IFERROR(MID(VLOOKUP($B201,Seqs!$A:$B,2,0),AA201,1),"")</f>
        <v>V</v>
      </c>
      <c r="AA201" s="3">
        <v>135</v>
      </c>
      <c r="AB201" s="3" t="str">
        <f>IFERROR(MID(VLOOKUP($B201,Seqs!$A:$B,2,0),AC201,1),"")</f>
        <v>T</v>
      </c>
      <c r="AC201" s="3">
        <v>136</v>
      </c>
      <c r="AD201" s="3" t="str">
        <f>IFERROR(MID(VLOOKUP($B201,Seqs!$A:$B,2,0),AE201,1),"")</f>
        <v>A</v>
      </c>
      <c r="AE201" s="3">
        <v>161</v>
      </c>
      <c r="AF201" s="3" t="str">
        <f>IFERROR(MID(VLOOKUP($B201,Seqs!$A:$B,2,0),AG201,1),"")</f>
        <v>C</v>
      </c>
      <c r="AG201" s="3">
        <v>173</v>
      </c>
      <c r="AH201" s="3" t="str">
        <f>IFERROR(MID(VLOOKUP($B201,Seqs!$A:$B,2,0),AI201,1),"")</f>
        <v>E</v>
      </c>
      <c r="AI201" s="3">
        <v>175</v>
      </c>
      <c r="AJ201" s="3" t="str">
        <f>IFERROR(MID(VLOOKUP($B201,Seqs!$A:$B,2,0),AK201,1),"")</f>
        <v>D</v>
      </c>
      <c r="AK201" s="3">
        <v>179</v>
      </c>
      <c r="AL201" s="3" t="str">
        <f>IFERROR(MID(VLOOKUP($B201,Seqs!$A:$B,2,0),AM201,1),"")</f>
        <v>K</v>
      </c>
      <c r="AM201" s="3">
        <v>218</v>
      </c>
      <c r="AN201" s="3" t="str">
        <f>IFERROR(MID(VLOOKUP($B201,Seqs!$A:$B,2,0),AO201,1),"")</f>
        <v>N</v>
      </c>
      <c r="AO201" s="3">
        <v>224</v>
      </c>
      <c r="AP201" s="3" t="str">
        <f>IFERROR(MID(VLOOKUP($B201,Seqs!$A:$B,2,0),AQ201,1),"")</f>
        <v>N</v>
      </c>
      <c r="AQ201" s="3">
        <v>262</v>
      </c>
      <c r="AR201" s="3" t="str">
        <f>IFERROR(MID(VLOOKUP($B201,Seqs!$A:$B,2,0),AS201,1),"")</f>
        <v>P</v>
      </c>
      <c r="AS201" s="3">
        <v>266</v>
      </c>
      <c r="AT201" s="3" t="str">
        <f>IFERROR(MID(VLOOKUP($B201,Seqs!$A:$B,2,0),AU201,1),"")</f>
        <v>S</v>
      </c>
      <c r="AU201" s="3">
        <v>298</v>
      </c>
      <c r="AV201" s="3" t="str">
        <f>IFERROR(MID(VLOOKUP($B201,Seqs!$A:$B,2,0),AW201,1),"")</f>
        <v>G</v>
      </c>
      <c r="AW201" s="3">
        <v>299</v>
      </c>
      <c r="AX201" s="3" t="str">
        <f>IFERROR(MID(VLOOKUP($B201,Seqs!$A:$B,2,0),AY201,1),"")</f>
        <v>K</v>
      </c>
      <c r="AY201" s="3">
        <v>311</v>
      </c>
      <c r="AZ201" s="77" t="str">
        <f>VLOOKUP(B201,Classification!A:D,2,0)</f>
        <v>A</v>
      </c>
      <c r="BA201" s="94" t="str">
        <f>VLOOKUP(B201,Classification!A:D,4,0)</f>
        <v>Leukotriene</v>
      </c>
      <c r="BB201" s="27" t="b">
        <f t="shared" ref="BB201:BB202" si="1679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23">
        <f t="shared" ref="BC201:BC202" si="1680">_xlfn.AGGREGATE(9,6,CH201:CS201)-_xlfn.AGGREGATE(9,6,BV201:CG201)+12</f>
        <v>275</v>
      </c>
      <c r="BD201" s="16" t="s">
        <v>23</v>
      </c>
      <c r="BE201" s="3" t="s">
        <v>1370</v>
      </c>
      <c r="BF201" s="118">
        <v>3.8</v>
      </c>
      <c r="BG201" s="49" t="s">
        <v>1373</v>
      </c>
      <c r="BH201" s="49" t="s">
        <v>1373</v>
      </c>
      <c r="BI201" s="1"/>
      <c r="BJ201" s="70" t="s">
        <v>1283</v>
      </c>
      <c r="BK201" s="57" t="s">
        <v>1283</v>
      </c>
      <c r="BL201" s="57" t="s">
        <v>1283</v>
      </c>
      <c r="BM201" s="57" t="s">
        <v>1283</v>
      </c>
      <c r="BN201" s="57" t="s">
        <v>1283</v>
      </c>
      <c r="BO201" s="57" t="s">
        <v>1283</v>
      </c>
      <c r="BP201" s="57" t="s">
        <v>1283</v>
      </c>
      <c r="BQ201" s="57" t="s">
        <v>1283</v>
      </c>
      <c r="BR201" s="57" t="s">
        <v>1283</v>
      </c>
      <c r="BS201" s="57" t="s">
        <v>1283</v>
      </c>
      <c r="BT201" s="57" t="s">
        <v>1283</v>
      </c>
      <c r="BU201" s="57" t="s">
        <v>1283</v>
      </c>
      <c r="BV201" s="70">
        <f t="shared" ref="BV201:BV202" si="1681">E201</f>
        <v>11</v>
      </c>
      <c r="BW201" s="71" t="str">
        <f t="shared" ref="BW201:BW202" si="1682">I201</f>
        <v>-</v>
      </c>
      <c r="BX201" s="72">
        <f t="shared" ref="BX201:BX202" si="1683">M201</f>
        <v>56</v>
      </c>
      <c r="BY201" s="71">
        <f t="shared" ref="BY201:BY202" si="1684">Q201</f>
        <v>88</v>
      </c>
      <c r="BZ201" s="72">
        <f t="shared" ref="BZ201:BZ202" si="1685">U201</f>
        <v>92</v>
      </c>
      <c r="CA201" s="71">
        <f t="shared" ref="CA201:CA202" si="1686">Y201</f>
        <v>128</v>
      </c>
      <c r="CB201" s="72">
        <f t="shared" ref="CB201:CB202" si="1687">AC201</f>
        <v>136</v>
      </c>
      <c r="CC201" s="71">
        <f t="shared" ref="CC201:CC202" si="1688">AG201</f>
        <v>173</v>
      </c>
      <c r="CD201" s="72">
        <f t="shared" ref="CD201:CD202" si="1689">AK201</f>
        <v>179</v>
      </c>
      <c r="CE201" s="71">
        <f t="shared" ref="CE201:CE202" si="1690">AO201</f>
        <v>224</v>
      </c>
      <c r="CF201" s="72">
        <f t="shared" ref="CF201:CF202" si="1691">AS201</f>
        <v>266</v>
      </c>
      <c r="CG201" s="71">
        <f t="shared" ref="CG201:CG202" si="1692">AW201</f>
        <v>299</v>
      </c>
      <c r="CH201" s="70">
        <f t="shared" ref="CH201:CH202" si="1693">G201</f>
        <v>51</v>
      </c>
      <c r="CI201" s="71" t="str">
        <f t="shared" ref="CI201:CI202" si="1694">K201</f>
        <v>-</v>
      </c>
      <c r="CJ201" s="72">
        <f t="shared" ref="CJ201:CJ202" si="1695">O201</f>
        <v>86</v>
      </c>
      <c r="CK201" s="72">
        <f t="shared" ref="CK201:CK202" si="1696">S201</f>
        <v>91</v>
      </c>
      <c r="CL201" s="72">
        <f t="shared" ref="CL201:CL202" si="1697">W201</f>
        <v>127</v>
      </c>
      <c r="CM201" s="72">
        <f t="shared" ref="CM201:CM202" si="1698">AA201</f>
        <v>135</v>
      </c>
      <c r="CN201" s="72">
        <f t="shared" ref="CN201:CN202" si="1699">AE201</f>
        <v>161</v>
      </c>
      <c r="CO201" s="72">
        <f t="shared" ref="CO201:CO202" si="1700">AI201</f>
        <v>175</v>
      </c>
      <c r="CP201" s="72">
        <f t="shared" ref="CP201:CP202" si="1701">AM201</f>
        <v>218</v>
      </c>
      <c r="CQ201" s="72">
        <f t="shared" ref="CQ201:CQ202" si="1702">AQ201</f>
        <v>262</v>
      </c>
      <c r="CR201" s="72">
        <f t="shared" ref="CR201:CR202" si="1703">AU201</f>
        <v>298</v>
      </c>
      <c r="CS201" s="72">
        <f t="shared" ref="CS201:CS202" si="1704">AY201</f>
        <v>311</v>
      </c>
      <c r="CT201" s="23" t="e">
        <f t="shared" ref="CT201:CT202" si="1705">M201-K201</f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231"/>
        <v>cltr1_human_6RZ4</v>
      </c>
      <c r="B202" s="3" t="s">
        <v>179</v>
      </c>
      <c r="C202" s="3" t="s">
        <v>1597</v>
      </c>
      <c r="D202" s="3" t="str">
        <f>IFERROR(MID(VLOOKUP($B202,Seqs!$A:$B,2,0),E202,1),"")</f>
        <v>S</v>
      </c>
      <c r="E202" s="3">
        <v>11</v>
      </c>
      <c r="F202" s="3" t="str">
        <f>IFERROR(MID(VLOOKUP($B202,Seqs!$A:$B,2,0),G202,1),"")</f>
        <v>T</v>
      </c>
      <c r="G202" s="3">
        <v>51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56</v>
      </c>
      <c r="N202" s="3" t="str">
        <f>IFERROR(MID(VLOOKUP($B202,Seqs!$A:$B,2,0),O202,1),"")</f>
        <v>K</v>
      </c>
      <c r="O202" s="3">
        <v>86</v>
      </c>
      <c r="P202" s="3" t="str">
        <f>IFERROR(MID(VLOOKUP($B202,Seqs!$A:$B,2,0),Q202,1),"")</f>
        <v>I</v>
      </c>
      <c r="Q202" s="3">
        <v>88</v>
      </c>
      <c r="R202" s="3" t="str">
        <f>IFERROR(MID(VLOOKUP($B202,Seqs!$A:$B,2,0),S202,1),"")</f>
        <v>F</v>
      </c>
      <c r="S202" s="3">
        <v>91</v>
      </c>
      <c r="T202" s="3" t="str">
        <f>IFERROR(MID(VLOOKUP($B202,Seqs!$A:$B,2,0),U202,1),"")</f>
        <v>G</v>
      </c>
      <c r="U202" s="3">
        <v>92</v>
      </c>
      <c r="V202" s="3" t="str">
        <f>IFERROR(MID(VLOOKUP($B202,Seqs!$A:$B,2,0),W202,1),"")</f>
        <v>F</v>
      </c>
      <c r="W202" s="3">
        <v>127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I</v>
      </c>
      <c r="AC202" s="3">
        <v>132</v>
      </c>
      <c r="AD202" s="3" t="str">
        <f>IFERROR(MID(VLOOKUP($B202,Seqs!$A:$B,2,0),AE202,1),"")</f>
        <v>A</v>
      </c>
      <c r="AE202" s="3">
        <v>161</v>
      </c>
      <c r="AF202" s="3" t="str">
        <f>IFERROR(MID(VLOOKUP($B202,Seqs!$A:$B,2,0),AG202,1),"")</f>
        <v>C</v>
      </c>
      <c r="AG202" s="3">
        <v>173</v>
      </c>
      <c r="AH202" s="3" t="str">
        <f>IFERROR(MID(VLOOKUP($B202,Seqs!$A:$B,2,0),AI202,1),"")</f>
        <v>E</v>
      </c>
      <c r="AI202" s="3">
        <v>175</v>
      </c>
      <c r="AJ202" s="3" t="str">
        <f>IFERROR(MID(VLOOKUP($B202,Seqs!$A:$B,2,0),AK202,1),"")</f>
        <v>D</v>
      </c>
      <c r="AK202" s="3">
        <v>179</v>
      </c>
      <c r="AL202" s="3" t="str">
        <f>IFERROR(MID(VLOOKUP($B202,Seqs!$A:$B,2,0),AM202,1),"")</f>
        <v>K</v>
      </c>
      <c r="AM202" s="3">
        <v>222</v>
      </c>
      <c r="AN202" s="3" t="str">
        <f>IFERROR(MID(VLOOKUP($B202,Seqs!$A:$B,2,0),AO202,1),"")</f>
        <v>L</v>
      </c>
      <c r="AO202" s="3">
        <v>225</v>
      </c>
      <c r="AP202" s="3" t="str">
        <f>IFERROR(MID(VLOOKUP($B202,Seqs!$A:$B,2,0),AQ202,1),"")</f>
        <v>N</v>
      </c>
      <c r="AQ202" s="3">
        <v>262</v>
      </c>
      <c r="AR202" s="3" t="str">
        <f>IFERROR(MID(VLOOKUP($B202,Seqs!$A:$B,2,0),AS202,1),"")</f>
        <v>P</v>
      </c>
      <c r="AS202" s="3">
        <v>266</v>
      </c>
      <c r="AT202" s="3" t="str">
        <f>IFERROR(MID(VLOOKUP($B202,Seqs!$A:$B,2,0),AU202,1),"")</f>
        <v>F</v>
      </c>
      <c r="AU202" s="3">
        <v>297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7" t="str">
        <f>VLOOKUP(B202,Classification!A:D,2,0)</f>
        <v>A</v>
      </c>
      <c r="BA202" s="94" t="str">
        <f>VLOOKUP(B202,Classification!A:D,4,0)</f>
        <v>Leukotriene</v>
      </c>
      <c r="BB202" s="27" t="b">
        <f t="shared" si="1679"/>
        <v>1</v>
      </c>
      <c r="BC202" s="23">
        <f t="shared" si="1680"/>
        <v>262</v>
      </c>
      <c r="BD202" s="16" t="s">
        <v>1425</v>
      </c>
      <c r="BE202" s="3" t="s">
        <v>1424</v>
      </c>
      <c r="BF202" s="118">
        <v>2.7</v>
      </c>
      <c r="BG202" s="49" t="s">
        <v>1</v>
      </c>
      <c r="BH202" s="49" t="s">
        <v>1</v>
      </c>
      <c r="BI202" s="1"/>
      <c r="BJ202" s="70" t="s">
        <v>1283</v>
      </c>
      <c r="BK202" s="57" t="s">
        <v>1283</v>
      </c>
      <c r="BL202" s="57" t="s">
        <v>1283</v>
      </c>
      <c r="BM202" s="57" t="s">
        <v>1283</v>
      </c>
      <c r="BN202" s="57" t="s">
        <v>1283</v>
      </c>
      <c r="BO202" s="57" t="s">
        <v>1283</v>
      </c>
      <c r="BP202" s="57" t="s">
        <v>1283</v>
      </c>
      <c r="BQ202" s="57" t="s">
        <v>1283</v>
      </c>
      <c r="BR202" s="57" t="s">
        <v>1283</v>
      </c>
      <c r="BS202" s="57" t="s">
        <v>1283</v>
      </c>
      <c r="BT202" s="57" t="s">
        <v>1283</v>
      </c>
      <c r="BU202" s="57" t="s">
        <v>1283</v>
      </c>
      <c r="BV202" s="70">
        <f t="shared" si="1681"/>
        <v>11</v>
      </c>
      <c r="BW202" s="71" t="str">
        <f t="shared" si="1682"/>
        <v>-</v>
      </c>
      <c r="BX202" s="72">
        <f t="shared" si="1683"/>
        <v>56</v>
      </c>
      <c r="BY202" s="71">
        <f t="shared" si="1684"/>
        <v>88</v>
      </c>
      <c r="BZ202" s="72">
        <f t="shared" si="1685"/>
        <v>92</v>
      </c>
      <c r="CA202" s="71" t="str">
        <f t="shared" si="1686"/>
        <v>-</v>
      </c>
      <c r="CB202" s="72">
        <f t="shared" si="1687"/>
        <v>132</v>
      </c>
      <c r="CC202" s="71">
        <f t="shared" si="1688"/>
        <v>173</v>
      </c>
      <c r="CD202" s="72">
        <f t="shared" si="1689"/>
        <v>179</v>
      </c>
      <c r="CE202" s="71">
        <f t="shared" si="1690"/>
        <v>225</v>
      </c>
      <c r="CF202" s="72">
        <f t="shared" si="1691"/>
        <v>266</v>
      </c>
      <c r="CG202" s="71" t="str">
        <f t="shared" si="1692"/>
        <v>-</v>
      </c>
      <c r="CH202" s="70">
        <f t="shared" si="1693"/>
        <v>51</v>
      </c>
      <c r="CI202" s="71" t="str">
        <f t="shared" si="1694"/>
        <v>-</v>
      </c>
      <c r="CJ202" s="72">
        <f t="shared" si="1695"/>
        <v>86</v>
      </c>
      <c r="CK202" s="72">
        <f t="shared" si="1696"/>
        <v>91</v>
      </c>
      <c r="CL202" s="72">
        <f t="shared" si="1697"/>
        <v>127</v>
      </c>
      <c r="CM202" s="72" t="str">
        <f t="shared" si="1698"/>
        <v>-</v>
      </c>
      <c r="CN202" s="72">
        <f t="shared" si="1699"/>
        <v>161</v>
      </c>
      <c r="CO202" s="72">
        <f t="shared" si="1700"/>
        <v>175</v>
      </c>
      <c r="CP202" s="72">
        <f t="shared" si="1701"/>
        <v>222</v>
      </c>
      <c r="CQ202" s="72">
        <f t="shared" si="1702"/>
        <v>262</v>
      </c>
      <c r="CR202" s="72">
        <f t="shared" si="1703"/>
        <v>297</v>
      </c>
      <c r="CS202" s="72" t="str">
        <f t="shared" si="1704"/>
        <v>-</v>
      </c>
      <c r="CT202" s="23" t="e">
        <f t="shared" si="1705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ref="A203" si="1706">CONCATENATE(B203,"_",C203)</f>
        <v>cltr1_human_6RZ5</v>
      </c>
      <c r="B203" s="3" t="s">
        <v>179</v>
      </c>
      <c r="C203" s="3" t="s">
        <v>1598</v>
      </c>
      <c r="D203" s="3" t="str">
        <f>IFERROR(MID(VLOOKUP($B203,Seqs!$A:$B,2,0),E203,1),"")</f>
        <v>I</v>
      </c>
      <c r="E203" s="3">
        <v>18</v>
      </c>
      <c r="F203" s="3" t="str">
        <f>IFERROR(MID(VLOOKUP($B203,Seqs!$A:$B,2,0),G203,1),"")</f>
        <v>T</v>
      </c>
      <c r="G203" s="3">
        <v>51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S</v>
      </c>
      <c r="M203" s="3">
        <v>56</v>
      </c>
      <c r="N203" s="3" t="str">
        <f>IFERROR(MID(VLOOKUP($B203,Seqs!$A:$B,2,0),O203,1),"")</f>
        <v>K</v>
      </c>
      <c r="O203" s="3">
        <v>86</v>
      </c>
      <c r="P203" s="3" t="str">
        <f>IFERROR(MID(VLOOKUP($B203,Seqs!$A:$B,2,0),Q203,1),"")</f>
        <v>I</v>
      </c>
      <c r="Q203" s="3">
        <v>88</v>
      </c>
      <c r="R203" s="3" t="str">
        <f>IFERROR(MID(VLOOKUP($B203,Seqs!$A:$B,2,0),S203,1),"")</f>
        <v>F</v>
      </c>
      <c r="S203" s="3">
        <v>91</v>
      </c>
      <c r="T203" s="3" t="str">
        <f>IFERROR(MID(VLOOKUP($B203,Seqs!$A:$B,2,0),U203,1),"")</f>
        <v>G</v>
      </c>
      <c r="U203" s="3">
        <v>92</v>
      </c>
      <c r="V203" s="3" t="str">
        <f>IFERROR(MID(VLOOKUP($B203,Seqs!$A:$B,2,0),W203,1),"")</f>
        <v>F</v>
      </c>
      <c r="W203" s="3">
        <v>127</v>
      </c>
      <c r="X203" s="3" t="str">
        <f>IFERROR(MID(VLOOKUP($B203,Seqs!$A:$B,2,0),Y203,1),"")</f>
        <v>P</v>
      </c>
      <c r="Y203" s="3">
        <v>128</v>
      </c>
      <c r="Z203" s="3" t="str">
        <f>IFERROR(MID(VLOOKUP($B203,Seqs!$A:$B,2,0),AA203,1),"")</f>
        <v>V</v>
      </c>
      <c r="AA203" s="3">
        <v>135</v>
      </c>
      <c r="AB203" s="3" t="str">
        <f>IFERROR(MID(VLOOKUP($B203,Seqs!$A:$B,2,0),AC203,1),"")</f>
        <v>T</v>
      </c>
      <c r="AC203" s="3">
        <v>136</v>
      </c>
      <c r="AD203" s="3" t="str">
        <f>IFERROR(MID(VLOOKUP($B203,Seqs!$A:$B,2,0),AE203,1),"")</f>
        <v>M</v>
      </c>
      <c r="AE203" s="3">
        <v>160</v>
      </c>
      <c r="AF203" s="3" t="str">
        <f>IFERROR(MID(VLOOKUP($B203,Seqs!$A:$B,2,0),AG203,1),"")</f>
        <v>C</v>
      </c>
      <c r="AG203" s="3">
        <v>173</v>
      </c>
      <c r="AH203" s="3" t="str">
        <f>IFERROR(MID(VLOOKUP($B203,Seqs!$A:$B,2,0),AI203,1),"")</f>
        <v>E</v>
      </c>
      <c r="AI203" s="3">
        <v>175</v>
      </c>
      <c r="AJ203" s="3" t="str">
        <f>IFERROR(MID(VLOOKUP($B203,Seqs!$A:$B,2,0),AK203,1),"")</f>
        <v>K</v>
      </c>
      <c r="AK203" s="3">
        <v>183</v>
      </c>
      <c r="AL203" s="3" t="str">
        <f>IFERROR(MID(VLOOKUP($B203,Seqs!$A:$B,2,0),AM203,1),"")</f>
        <v>K</v>
      </c>
      <c r="AM203" s="3">
        <v>222</v>
      </c>
      <c r="AN203" s="3" t="str">
        <f>IFERROR(MID(VLOOKUP($B203,Seqs!$A:$B,2,0),AO203,1),"")</f>
        <v>S</v>
      </c>
      <c r="AO203" s="3">
        <v>226</v>
      </c>
      <c r="AP203" s="3" t="str">
        <f>IFERROR(MID(VLOOKUP($B203,Seqs!$A:$B,2,0),AQ203,1),"")</f>
        <v>N</v>
      </c>
      <c r="AQ203" s="3">
        <v>262</v>
      </c>
      <c r="AR203" s="3" t="str">
        <f>IFERROR(MID(VLOOKUP($B203,Seqs!$A:$B,2,0),AS203,1),"")</f>
        <v>P</v>
      </c>
      <c r="AS203" s="3">
        <v>266</v>
      </c>
      <c r="AT203" s="3" t="str">
        <f>IFERROR(MID(VLOOKUP($B203,Seqs!$A:$B,2,0),AU203,1),"")</f>
        <v>S</v>
      </c>
      <c r="AU203" s="3">
        <v>298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7" t="str">
        <f>VLOOKUP(B203,Classification!A:D,2,0)</f>
        <v>A</v>
      </c>
      <c r="BA203" s="94" t="str">
        <f>VLOOKUP(B203,Classification!A:D,4,0)</f>
        <v>Leukotriene</v>
      </c>
      <c r="BB203" s="27" t="b">
        <f t="shared" ref="BB203" si="1707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 t="shared" ref="BC203" si="1708">_xlfn.AGGREGATE(9,6,CH203:CS203)-_xlfn.AGGREGATE(9,6,BV203:CG203)+12</f>
        <v>253</v>
      </c>
      <c r="BD203" s="16" t="s">
        <v>23</v>
      </c>
      <c r="BE203" s="3" t="s">
        <v>1424</v>
      </c>
      <c r="BF203" s="118">
        <v>2.5299999999999998</v>
      </c>
      <c r="BG203" s="49" t="s">
        <v>1277</v>
      </c>
      <c r="BH203" s="49" t="s">
        <v>1277</v>
      </c>
      <c r="BI203" s="1"/>
      <c r="BJ203" s="70" t="s">
        <v>1283</v>
      </c>
      <c r="BK203" s="57" t="s">
        <v>1283</v>
      </c>
      <c r="BL203" s="57" t="s">
        <v>1283</v>
      </c>
      <c r="BM203" s="57" t="s">
        <v>1283</v>
      </c>
      <c r="BN203" s="57" t="s">
        <v>1283</v>
      </c>
      <c r="BO203" s="57" t="s">
        <v>1283</v>
      </c>
      <c r="BP203" s="57" t="s">
        <v>1283</v>
      </c>
      <c r="BQ203" s="57" t="s">
        <v>1283</v>
      </c>
      <c r="BR203" s="57" t="s">
        <v>1283</v>
      </c>
      <c r="BS203" s="57" t="s">
        <v>1283</v>
      </c>
      <c r="BT203" s="57" t="s">
        <v>1283</v>
      </c>
      <c r="BU203" s="57" t="s">
        <v>1283</v>
      </c>
      <c r="BV203" s="70">
        <f t="shared" ref="BV203" si="1709">E203</f>
        <v>18</v>
      </c>
      <c r="BW203" s="71" t="str">
        <f t="shared" ref="BW203" si="1710">I203</f>
        <v>-</v>
      </c>
      <c r="BX203" s="72">
        <f t="shared" ref="BX203" si="1711">M203</f>
        <v>56</v>
      </c>
      <c r="BY203" s="71">
        <f t="shared" ref="BY203" si="1712">Q203</f>
        <v>88</v>
      </c>
      <c r="BZ203" s="72">
        <f t="shared" ref="BZ203" si="1713">U203</f>
        <v>92</v>
      </c>
      <c r="CA203" s="71">
        <f t="shared" ref="CA203" si="1714">Y203</f>
        <v>128</v>
      </c>
      <c r="CB203" s="72">
        <f t="shared" ref="CB203" si="1715">AC203</f>
        <v>136</v>
      </c>
      <c r="CC203" s="71">
        <f t="shared" ref="CC203" si="1716">AG203</f>
        <v>173</v>
      </c>
      <c r="CD203" s="72">
        <f t="shared" ref="CD203" si="1717">AK203</f>
        <v>183</v>
      </c>
      <c r="CE203" s="71">
        <f t="shared" ref="CE203" si="1718">AO203</f>
        <v>226</v>
      </c>
      <c r="CF203" s="72">
        <f t="shared" ref="CF203" si="1719">AS203</f>
        <v>266</v>
      </c>
      <c r="CG203" s="71" t="str">
        <f t="shared" ref="CG203" si="1720">AW203</f>
        <v>-</v>
      </c>
      <c r="CH203" s="70">
        <f t="shared" ref="CH203" si="1721">G203</f>
        <v>51</v>
      </c>
      <c r="CI203" s="71" t="str">
        <f t="shared" ref="CI203" si="1722">K203</f>
        <v>-</v>
      </c>
      <c r="CJ203" s="72">
        <f t="shared" ref="CJ203" si="1723">O203</f>
        <v>86</v>
      </c>
      <c r="CK203" s="72">
        <f t="shared" ref="CK203" si="1724">S203</f>
        <v>91</v>
      </c>
      <c r="CL203" s="72">
        <f t="shared" ref="CL203" si="1725">W203</f>
        <v>127</v>
      </c>
      <c r="CM203" s="72">
        <f t="shared" ref="CM203" si="1726">AA203</f>
        <v>135</v>
      </c>
      <c r="CN203" s="72">
        <f t="shared" ref="CN203" si="1727">AE203</f>
        <v>160</v>
      </c>
      <c r="CO203" s="72">
        <f t="shared" ref="CO203" si="1728">AI203</f>
        <v>175</v>
      </c>
      <c r="CP203" s="72">
        <f t="shared" ref="CP203" si="1729">AM203</f>
        <v>222</v>
      </c>
      <c r="CQ203" s="72">
        <f t="shared" ref="CQ203" si="1730">AQ203</f>
        <v>262</v>
      </c>
      <c r="CR203" s="72">
        <f t="shared" ref="CR203" si="1731">AU203</f>
        <v>298</v>
      </c>
      <c r="CS203" s="72" t="str">
        <f t="shared" ref="CS203" si="1732">AY203</f>
        <v>-</v>
      </c>
      <c r="CT203" s="23" t="e">
        <f t="shared" ref="CT203" si="1733">M203-K203</f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ref="A204:A205" si="1734">CONCATENATE(B204,"_",C204)</f>
        <v>cltr2_human__wt</v>
      </c>
      <c r="B204" s="3" t="s">
        <v>180</v>
      </c>
      <c r="C204" s="3" t="s">
        <v>100</v>
      </c>
      <c r="D204" s="3" t="str">
        <f>IFERROR(MID(VLOOKUP($B204,Seqs!$A:$B,2,0),E204,1),"")</f>
        <v>C</v>
      </c>
      <c r="E204" s="3">
        <v>31</v>
      </c>
      <c r="F204" s="3" t="str">
        <f>IFERROR(MID(VLOOKUP($B204,Seqs!$A:$B,2,0),G204,1),"")</f>
        <v>P</v>
      </c>
      <c r="G204" s="3">
        <v>66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71</v>
      </c>
      <c r="N204" s="3" t="str">
        <f>IFERROR(MID(VLOOKUP($B204,Seqs!$A:$B,2,0),O204,1),"")</f>
        <v>G</v>
      </c>
      <c r="O204" s="3">
        <v>101</v>
      </c>
      <c r="P204" s="3" t="str">
        <f>IFERROR(MID(VLOOKUP($B204,Seqs!$A:$B,2,0),Q204,1),"")</f>
        <v>N</v>
      </c>
      <c r="Q204" s="3">
        <v>103</v>
      </c>
      <c r="R204" s="3" t="str">
        <f>IFERROR(MID(VLOOKUP($B204,Seqs!$A:$B,2,0),S204,1),"")</f>
        <v>F</v>
      </c>
      <c r="S204" s="3">
        <v>106</v>
      </c>
      <c r="T204" s="3" t="str">
        <f>IFERROR(MID(VLOOKUP($B204,Seqs!$A:$B,2,0),U204,1),"")</f>
        <v>G</v>
      </c>
      <c r="U204" s="3">
        <v>107</v>
      </c>
      <c r="V204" s="3" t="str">
        <f>IFERROR(MID(VLOOKUP($B204,Seqs!$A:$B,2,0),W204,1),"")</f>
        <v>H</v>
      </c>
      <c r="W204" s="3">
        <v>142</v>
      </c>
      <c r="X204" s="3" t="str">
        <f>IFERROR(MID(VLOOKUP($B204,Seqs!$A:$B,2,0),Y204,1),"")</f>
        <v>P</v>
      </c>
      <c r="Y204" s="3">
        <v>143</v>
      </c>
      <c r="Z204" s="3" t="str">
        <f>IFERROR(MID(VLOOKUP($B204,Seqs!$A:$B,2,0),AA204,1),"")</f>
        <v>T</v>
      </c>
      <c r="AA204" s="3">
        <v>150</v>
      </c>
      <c r="AB204" s="3" t="str">
        <f>IFERROR(MID(VLOOKUP($B204,Seqs!$A:$B,2,0),AC204,1),"")</f>
        <v>S</v>
      </c>
      <c r="AC204" s="3">
        <v>151</v>
      </c>
      <c r="AD204" s="3" t="str">
        <f>IFERROR(MID(VLOOKUP($B204,Seqs!$A:$B,2,0),AE204,1),"")</f>
        <v>S</v>
      </c>
      <c r="AE204" s="3">
        <v>176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E</v>
      </c>
      <c r="AI204" s="3">
        <v>189</v>
      </c>
      <c r="AJ204" s="3" t="str">
        <f>IFERROR(MID(VLOOKUP($B204,Seqs!$A:$B,2,0),AK204,1),"")</f>
        <v>I</v>
      </c>
      <c r="AK204" s="3">
        <v>195</v>
      </c>
      <c r="AL204" s="3" t="str">
        <f>IFERROR(MID(VLOOKUP($B204,Seqs!$A:$B,2,0),AM204,1),"")</f>
        <v>V</v>
      </c>
      <c r="AM204" s="3">
        <v>231</v>
      </c>
      <c r="AN204" s="3" t="str">
        <f>IFERROR(MID(VLOOKUP($B204,Seqs!$A:$B,2,0),AO204,1),"")</f>
        <v>S</v>
      </c>
      <c r="AO204" s="3">
        <v>236</v>
      </c>
      <c r="AP204" s="3" t="str">
        <f>IFERROR(MID(VLOOKUP($B204,Seqs!$A:$B,2,0),AQ204,1),"")</f>
        <v>W</v>
      </c>
      <c r="AQ204" s="3">
        <v>274</v>
      </c>
      <c r="AR204" s="3" t="str">
        <f>IFERROR(MID(VLOOKUP($B204,Seqs!$A:$B,2,0),AS204,1),"")</f>
        <v>K</v>
      </c>
      <c r="AS204" s="3">
        <v>280</v>
      </c>
      <c r="AT204" s="3" t="str">
        <f>IFERROR(MID(VLOOKUP($B204,Seqs!$A:$B,2,0),AU204,1),"")</f>
        <v>A</v>
      </c>
      <c r="AU204" s="3">
        <v>308</v>
      </c>
      <c r="AV204" s="3" t="str">
        <f>IFERROR(MID(VLOOKUP($B204,Seqs!$A:$B,2,0),AW204,1),"")</f>
        <v>G</v>
      </c>
      <c r="AW204" s="3">
        <v>309</v>
      </c>
      <c r="AX204" s="3" t="str">
        <f>IFERROR(MID(VLOOKUP($B204,Seqs!$A:$B,2,0),AY204,1),"")</f>
        <v>K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Leukotriene</v>
      </c>
      <c r="BB204" s="27" t="b">
        <f t="shared" ref="BB204:BB205" si="1735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ref="BC204:BC205" si="1736">_xlfn.AGGREGATE(9,6,CH204:CS204)-_xlfn.AGGREGATE(9,6,BV204:CG204)+12</f>
        <v>264</v>
      </c>
      <c r="BD204" s="16" t="s">
        <v>23</v>
      </c>
      <c r="BE204" s="3" t="s">
        <v>23</v>
      </c>
      <c r="BF204" s="118" t="s">
        <v>23</v>
      </c>
      <c r="BG204" s="49" t="s">
        <v>23</v>
      </c>
      <c r="BH204" s="49" t="s">
        <v>23</v>
      </c>
      <c r="BI204" s="1"/>
      <c r="BJ204" s="70" t="s">
        <v>1283</v>
      </c>
      <c r="BK204" s="57" t="s">
        <v>1283</v>
      </c>
      <c r="BL204" s="57" t="s">
        <v>1283</v>
      </c>
      <c r="BM204" s="57" t="s">
        <v>1283</v>
      </c>
      <c r="BN204" s="57" t="s">
        <v>1283</v>
      </c>
      <c r="BO204" s="57" t="s">
        <v>1283</v>
      </c>
      <c r="BP204" s="57" t="s">
        <v>1283</v>
      </c>
      <c r="BQ204" s="57" t="s">
        <v>1283</v>
      </c>
      <c r="BR204" s="57" t="s">
        <v>1283</v>
      </c>
      <c r="BS204" s="57" t="s">
        <v>1283</v>
      </c>
      <c r="BT204" s="57" t="s">
        <v>1283</v>
      </c>
      <c r="BU204" s="57" t="s">
        <v>1283</v>
      </c>
      <c r="BV204" s="70">
        <f t="shared" ref="BV204:BV205" si="1737">E204</f>
        <v>31</v>
      </c>
      <c r="BW204" s="71" t="str">
        <f t="shared" ref="BW204:BW205" si="1738">I204</f>
        <v>-</v>
      </c>
      <c r="BX204" s="72">
        <f t="shared" ref="BX204:BX205" si="1739">M204</f>
        <v>71</v>
      </c>
      <c r="BY204" s="71">
        <f t="shared" ref="BY204:BY205" si="1740">Q204</f>
        <v>103</v>
      </c>
      <c r="BZ204" s="72">
        <f t="shared" ref="BZ204:BZ205" si="1741">U204</f>
        <v>107</v>
      </c>
      <c r="CA204" s="71">
        <f t="shared" ref="CA204:CA205" si="1742">Y204</f>
        <v>143</v>
      </c>
      <c r="CB204" s="72">
        <f t="shared" ref="CB204:CB205" si="1743">AC204</f>
        <v>151</v>
      </c>
      <c r="CC204" s="71">
        <f t="shared" ref="CC204:CC205" si="1744">AG204</f>
        <v>187</v>
      </c>
      <c r="CD204" s="72">
        <f t="shared" ref="CD204:CD205" si="1745">AK204</f>
        <v>195</v>
      </c>
      <c r="CE204" s="71">
        <f t="shared" ref="CE204:CE205" si="1746">AO204</f>
        <v>236</v>
      </c>
      <c r="CF204" s="72">
        <f t="shared" ref="CF204:CF205" si="1747">AS204</f>
        <v>280</v>
      </c>
      <c r="CG204" s="71">
        <f t="shared" ref="CG204:CG205" si="1748">AW204</f>
        <v>309</v>
      </c>
      <c r="CH204" s="70">
        <f t="shared" ref="CH204:CH205" si="1749">G204</f>
        <v>66</v>
      </c>
      <c r="CI204" s="71" t="str">
        <f t="shared" ref="CI204:CI205" si="1750">K204</f>
        <v>-</v>
      </c>
      <c r="CJ204" s="72">
        <f t="shared" ref="CJ204:CJ205" si="1751">O204</f>
        <v>101</v>
      </c>
      <c r="CK204" s="72">
        <f t="shared" ref="CK204:CK205" si="1752">S204</f>
        <v>106</v>
      </c>
      <c r="CL204" s="72">
        <f t="shared" ref="CL204:CL205" si="1753">W204</f>
        <v>142</v>
      </c>
      <c r="CM204" s="72">
        <f t="shared" ref="CM204:CM205" si="1754">AA204</f>
        <v>150</v>
      </c>
      <c r="CN204" s="72">
        <f t="shared" ref="CN204:CN205" si="1755">AE204</f>
        <v>176</v>
      </c>
      <c r="CO204" s="72">
        <f t="shared" ref="CO204:CO205" si="1756">AI204</f>
        <v>189</v>
      </c>
      <c r="CP204" s="72">
        <f t="shared" ref="CP204:CP205" si="1757">AM204</f>
        <v>231</v>
      </c>
      <c r="CQ204" s="72">
        <f t="shared" ref="CQ204:CQ205" si="1758">AQ204</f>
        <v>274</v>
      </c>
      <c r="CR204" s="72">
        <f t="shared" ref="CR204:CR205" si="1759">AU204</f>
        <v>308</v>
      </c>
      <c r="CS204" s="72">
        <f t="shared" ref="CS204:CS205" si="1760">AY204</f>
        <v>322</v>
      </c>
      <c r="CT204" s="23" t="e">
        <f t="shared" ref="CT204:CT205" si="1761"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734"/>
        <v>cltr2_human_6RZ6</v>
      </c>
      <c r="B205" s="3" t="s">
        <v>180</v>
      </c>
      <c r="C205" s="3" t="s">
        <v>1615</v>
      </c>
      <c r="D205" s="3" t="str">
        <f>IFERROR(MID(VLOOKUP($B205,Seqs!$A:$B,2,0),E205,1),"")</f>
        <v>C</v>
      </c>
      <c r="E205" s="3">
        <v>31</v>
      </c>
      <c r="F205" s="3" t="str">
        <f>IFERROR(MID(VLOOKUP($B205,Seqs!$A:$B,2,0),G205,1),"")</f>
        <v>Q</v>
      </c>
      <c r="G205" s="3">
        <v>65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71</v>
      </c>
      <c r="N205" s="3" t="str">
        <f>IFERROR(MID(VLOOKUP($B205,Seqs!$A:$B,2,0),O205,1),"")</f>
        <v>G</v>
      </c>
      <c r="O205" s="3">
        <v>101</v>
      </c>
      <c r="P205" s="3" t="str">
        <f>IFERROR(MID(VLOOKUP($B205,Seqs!$A:$B,2,0),Q205,1),"")</f>
        <v>N</v>
      </c>
      <c r="Q205" s="3">
        <v>103</v>
      </c>
      <c r="R205" s="3" t="str">
        <f>IFERROR(MID(VLOOKUP($B205,Seqs!$A:$B,2,0),S205,1),"")</f>
        <v>F</v>
      </c>
      <c r="S205" s="3">
        <v>106</v>
      </c>
      <c r="T205" s="3" t="str">
        <f>IFERROR(MID(VLOOKUP($B205,Seqs!$A:$B,2,0),U205,1),"")</f>
        <v>G</v>
      </c>
      <c r="U205" s="3">
        <v>107</v>
      </c>
      <c r="V205" s="3" t="str">
        <f>IFERROR(MID(VLOOKUP($B205,Seqs!$A:$B,2,0),W205,1),"")</f>
        <v>H</v>
      </c>
      <c r="W205" s="3">
        <v>142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V</v>
      </c>
      <c r="AC205" s="3">
        <v>149</v>
      </c>
      <c r="AD205" s="3" t="str">
        <f>IFERROR(MID(VLOOKUP($B205,Seqs!$A:$B,2,0),AE205,1),"")</f>
        <v>S</v>
      </c>
      <c r="AE205" s="3">
        <v>176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E</v>
      </c>
      <c r="AI205" s="3">
        <v>189</v>
      </c>
      <c r="AJ205" s="3" t="str">
        <f>IFERROR(MID(VLOOKUP($B205,Seqs!$A:$B,2,0),AK205,1),"")</f>
        <v>K</v>
      </c>
      <c r="AK205" s="3">
        <v>194</v>
      </c>
      <c r="AL205" s="3" t="str">
        <f>IFERROR(MID(VLOOKUP($B205,Seqs!$A:$B,2,0),AM205,1),"")</f>
        <v>E</v>
      </c>
      <c r="AM205" s="3">
        <v>232</v>
      </c>
      <c r="AN205" s="3" t="str">
        <f>IFERROR(MID(VLOOKUP($B205,Seqs!$A:$B,2,0),AO205,1),"")</f>
        <v>S</v>
      </c>
      <c r="AO205" s="3">
        <v>241</v>
      </c>
      <c r="AP205" s="3" t="str">
        <f>IFERROR(MID(VLOOKUP($B205,Seqs!$A:$B,2,0),AQ205,1),"")</f>
        <v>W</v>
      </c>
      <c r="AQ205" s="3">
        <v>274</v>
      </c>
      <c r="AR205" s="3" t="str">
        <f>IFERROR(MID(VLOOKUP($B205,Seqs!$A:$B,2,0),AS205,1),"")</f>
        <v>K</v>
      </c>
      <c r="AS205" s="3">
        <v>280</v>
      </c>
      <c r="AT205" s="3" t="str">
        <f>IFERROR(MID(VLOOKUP($B205,Seqs!$A:$B,2,0),AU205,1),"")</f>
        <v>A</v>
      </c>
      <c r="AU205" s="3">
        <v>308</v>
      </c>
      <c r="AV205" s="3" t="str">
        <f>IFERROR(MID(VLOOKUP($B205,Seqs!$A:$B,2,0),AW205,1),"")</f>
        <v>N</v>
      </c>
      <c r="AW205" s="3">
        <v>311</v>
      </c>
      <c r="AX205" s="3" t="str">
        <f>IFERROR(MID(VLOOKUP($B205,Seqs!$A:$B,2,0),AY205,1),"")</f>
        <v>K</v>
      </c>
      <c r="AY205" s="3">
        <v>322</v>
      </c>
      <c r="AZ205" s="77" t="str">
        <f>VLOOKUP(B205,Classification!A:D,2,0)</f>
        <v>A</v>
      </c>
      <c r="BA205" s="94" t="str">
        <f>VLOOKUP(B205,Classification!A:D,4,0)</f>
        <v>Leukotriene</v>
      </c>
      <c r="BB205" s="27" t="b">
        <f t="shared" si="1735"/>
        <v>1</v>
      </c>
      <c r="BC205" s="23">
        <f t="shared" si="1736"/>
        <v>253</v>
      </c>
      <c r="BD205" s="16" t="s">
        <v>23</v>
      </c>
      <c r="BE205" s="3" t="s">
        <v>1467</v>
      </c>
      <c r="BF205" s="118">
        <v>2.4300000000000002</v>
      </c>
      <c r="BG205" s="49" t="s">
        <v>1</v>
      </c>
      <c r="BH205" s="49" t="s">
        <v>1</v>
      </c>
      <c r="BI205" s="1"/>
      <c r="BJ205" s="70" t="s">
        <v>1283</v>
      </c>
      <c r="BK205" s="57" t="s">
        <v>1283</v>
      </c>
      <c r="BL205" s="57" t="s">
        <v>1283</v>
      </c>
      <c r="BM205" s="57" t="s">
        <v>1283</v>
      </c>
      <c r="BN205" s="57" t="s">
        <v>1283</v>
      </c>
      <c r="BO205" s="57" t="s">
        <v>1283</v>
      </c>
      <c r="BP205" s="57" t="s">
        <v>1283</v>
      </c>
      <c r="BQ205" s="57" t="s">
        <v>1283</v>
      </c>
      <c r="BR205" s="57" t="s">
        <v>1283</v>
      </c>
      <c r="BS205" s="57" t="s">
        <v>1283</v>
      </c>
      <c r="BT205" s="57" t="s">
        <v>1283</v>
      </c>
      <c r="BU205" s="57" t="s">
        <v>1283</v>
      </c>
      <c r="BV205" s="70">
        <f t="shared" si="1737"/>
        <v>31</v>
      </c>
      <c r="BW205" s="71" t="str">
        <f t="shared" si="1738"/>
        <v>-</v>
      </c>
      <c r="BX205" s="72">
        <f t="shared" si="1739"/>
        <v>71</v>
      </c>
      <c r="BY205" s="71">
        <f t="shared" si="1740"/>
        <v>103</v>
      </c>
      <c r="BZ205" s="72">
        <f t="shared" si="1741"/>
        <v>107</v>
      </c>
      <c r="CA205" s="71" t="str">
        <f t="shared" si="1742"/>
        <v>-</v>
      </c>
      <c r="CB205" s="72">
        <f t="shared" si="1743"/>
        <v>149</v>
      </c>
      <c r="CC205" s="71">
        <f t="shared" si="1744"/>
        <v>187</v>
      </c>
      <c r="CD205" s="72">
        <f t="shared" si="1745"/>
        <v>194</v>
      </c>
      <c r="CE205" s="71">
        <f t="shared" si="1746"/>
        <v>241</v>
      </c>
      <c r="CF205" s="72">
        <f t="shared" si="1747"/>
        <v>280</v>
      </c>
      <c r="CG205" s="71">
        <f t="shared" si="1748"/>
        <v>311</v>
      </c>
      <c r="CH205" s="70">
        <f t="shared" si="1749"/>
        <v>65</v>
      </c>
      <c r="CI205" s="71" t="str">
        <f t="shared" si="1750"/>
        <v>-</v>
      </c>
      <c r="CJ205" s="72">
        <f t="shared" si="1751"/>
        <v>101</v>
      </c>
      <c r="CK205" s="72">
        <f t="shared" si="1752"/>
        <v>106</v>
      </c>
      <c r="CL205" s="72">
        <f t="shared" si="1753"/>
        <v>142</v>
      </c>
      <c r="CM205" s="72" t="str">
        <f t="shared" si="1754"/>
        <v>-</v>
      </c>
      <c r="CN205" s="72">
        <f t="shared" si="1755"/>
        <v>176</v>
      </c>
      <c r="CO205" s="72">
        <f t="shared" si="1756"/>
        <v>189</v>
      </c>
      <c r="CP205" s="72">
        <f t="shared" si="1757"/>
        <v>232</v>
      </c>
      <c r="CQ205" s="72">
        <f t="shared" si="1758"/>
        <v>274</v>
      </c>
      <c r="CR205" s="72">
        <f t="shared" si="1759"/>
        <v>308</v>
      </c>
      <c r="CS205" s="72">
        <f t="shared" si="1760"/>
        <v>322</v>
      </c>
      <c r="CT205" s="23" t="e">
        <f t="shared" si="1761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ht="17" customHeight="1" x14ac:dyDescent="0.2">
      <c r="A206" s="3" t="str">
        <f t="shared" ref="A206" si="1762">CONCATENATE(B206,"_",C206)</f>
        <v>cltr2_human_6RZ7</v>
      </c>
      <c r="B206" s="3" t="s">
        <v>180</v>
      </c>
      <c r="C206" s="3" t="s">
        <v>1616</v>
      </c>
      <c r="D206" s="3" t="str">
        <f>IFERROR(MID(VLOOKUP($B206,Seqs!$A:$B,2,0),E206,1),"")</f>
        <v>C</v>
      </c>
      <c r="E206" s="3">
        <v>31</v>
      </c>
      <c r="F206" s="3" t="str">
        <f>IFERROR(MID(VLOOKUP($B206,Seqs!$A:$B,2,0),G206,1),"")</f>
        <v>Q</v>
      </c>
      <c r="G206" s="3">
        <v>65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T</v>
      </c>
      <c r="M206" s="3">
        <v>71</v>
      </c>
      <c r="N206" s="3" t="str">
        <f>IFERROR(MID(VLOOKUP($B206,Seqs!$A:$B,2,0),O206,1),"")</f>
        <v>G</v>
      </c>
      <c r="O206" s="3">
        <v>101</v>
      </c>
      <c r="P206" s="3" t="str">
        <f>IFERROR(MID(VLOOKUP($B206,Seqs!$A:$B,2,0),Q206,1),"")</f>
        <v>N</v>
      </c>
      <c r="Q206" s="3">
        <v>103</v>
      </c>
      <c r="R206" s="3" t="str">
        <f>IFERROR(MID(VLOOKUP($B206,Seqs!$A:$B,2,0),S206,1),"")</f>
        <v>F</v>
      </c>
      <c r="S206" s="3">
        <v>106</v>
      </c>
      <c r="T206" s="3" t="str">
        <f>IFERROR(MID(VLOOKUP($B206,Seqs!$A:$B,2,0),U206,1),"")</f>
        <v>G</v>
      </c>
      <c r="U206" s="3">
        <v>107</v>
      </c>
      <c r="V206" s="3" t="str">
        <f>IFERROR(MID(VLOOKUP($B206,Seqs!$A:$B,2,0),W206,1),"")</f>
        <v>H</v>
      </c>
      <c r="W206" s="3">
        <v>142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S</v>
      </c>
      <c r="AC206" s="3">
        <v>151</v>
      </c>
      <c r="AD206" s="3" t="str">
        <f>IFERROR(MID(VLOOKUP($B206,Seqs!$A:$B,2,0),AE206,1),"")</f>
        <v>L</v>
      </c>
      <c r="AE206" s="3">
        <v>174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E</v>
      </c>
      <c r="AI206" s="3">
        <v>189</v>
      </c>
      <c r="AJ206" s="3" t="str">
        <f>IFERROR(MID(VLOOKUP($B206,Seqs!$A:$B,2,0),AK206,1),"")</f>
        <v>K</v>
      </c>
      <c r="AK206" s="3">
        <v>194</v>
      </c>
      <c r="AL206" s="3" t="str">
        <f>IFERROR(MID(VLOOKUP($B206,Seqs!$A:$B,2,0),AM206,1),"")</f>
        <v>E</v>
      </c>
      <c r="AM206" s="3">
        <v>232</v>
      </c>
      <c r="AN206" s="3" t="str">
        <f>IFERROR(MID(VLOOKUP($B206,Seqs!$A:$B,2,0),AO206,1),"")</f>
        <v>S</v>
      </c>
      <c r="AO206" s="3">
        <v>241</v>
      </c>
      <c r="AP206" s="3" t="str">
        <f>IFERROR(MID(VLOOKUP($B206,Seqs!$A:$B,2,0),AQ206,1),"")</f>
        <v>W</v>
      </c>
      <c r="AQ206" s="3">
        <v>274</v>
      </c>
      <c r="AR206" s="3" t="str">
        <f>IFERROR(MID(VLOOKUP($B206,Seqs!$A:$B,2,0),AS206,1),"")</f>
        <v>K</v>
      </c>
      <c r="AS206" s="3">
        <v>280</v>
      </c>
      <c r="AT206" s="3" t="str">
        <f>IFERROR(MID(VLOOKUP($B206,Seqs!$A:$B,2,0),AU206,1),"")</f>
        <v>G</v>
      </c>
      <c r="AU206" s="3">
        <v>309</v>
      </c>
      <c r="AV206" s="3" t="str">
        <f>IFERROR(MID(VLOOKUP($B206,Seqs!$A:$B,2,0),AW206,1),"")</f>
        <v>N</v>
      </c>
      <c r="AW206" s="3">
        <v>311</v>
      </c>
      <c r="AX206" s="3" t="str">
        <f>IFERROR(MID(VLOOKUP($B206,Seqs!$A:$B,2,0),AY206,1),"")</f>
        <v>R</v>
      </c>
      <c r="AY206" s="3">
        <v>321</v>
      </c>
      <c r="AZ206" s="77" t="str">
        <f>VLOOKUP(B206,Classification!A:D,2,0)</f>
        <v>A</v>
      </c>
      <c r="BA206" s="94" t="str">
        <f>VLOOKUP(B206,Classification!A:D,4,0)</f>
        <v>Leukotriene</v>
      </c>
      <c r="BB206" s="27" t="b">
        <f t="shared" ref="BB206" si="1763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764">_xlfn.AGGREGATE(9,6,CH206:CS206)-_xlfn.AGGREGATE(9,6,BV206:CG206)+12</f>
        <v>249</v>
      </c>
      <c r="BD206" s="16" t="s">
        <v>23</v>
      </c>
      <c r="BE206" s="3" t="s">
        <v>1467</v>
      </c>
      <c r="BF206" s="118">
        <v>2.4300000000000002</v>
      </c>
      <c r="BG206" s="49" t="s">
        <v>1</v>
      </c>
      <c r="BH206" s="49" t="s">
        <v>1</v>
      </c>
      <c r="BI206" s="1"/>
      <c r="BJ206" s="70" t="s">
        <v>1283</v>
      </c>
      <c r="BK206" s="57" t="s">
        <v>1283</v>
      </c>
      <c r="BL206" s="57" t="s">
        <v>1283</v>
      </c>
      <c r="BM206" s="57" t="s">
        <v>1283</v>
      </c>
      <c r="BN206" s="57" t="s">
        <v>1283</v>
      </c>
      <c r="BO206" s="57" t="s">
        <v>1283</v>
      </c>
      <c r="BP206" s="57" t="s">
        <v>1283</v>
      </c>
      <c r="BQ206" s="57" t="s">
        <v>1283</v>
      </c>
      <c r="BR206" s="57" t="s">
        <v>1283</v>
      </c>
      <c r="BS206" s="57" t="s">
        <v>1283</v>
      </c>
      <c r="BT206" s="57" t="s">
        <v>1283</v>
      </c>
      <c r="BU206" s="57" t="s">
        <v>1283</v>
      </c>
      <c r="BV206" s="70">
        <f t="shared" ref="BV206" si="1765">E206</f>
        <v>31</v>
      </c>
      <c r="BW206" s="71" t="str">
        <f t="shared" ref="BW206" si="1766">I206</f>
        <v>-</v>
      </c>
      <c r="BX206" s="72">
        <f t="shared" ref="BX206" si="1767">M206</f>
        <v>71</v>
      </c>
      <c r="BY206" s="71">
        <f t="shared" ref="BY206" si="1768">Q206</f>
        <v>103</v>
      </c>
      <c r="BZ206" s="72">
        <f t="shared" ref="BZ206" si="1769">U206</f>
        <v>107</v>
      </c>
      <c r="CA206" s="71" t="str">
        <f t="shared" ref="CA206" si="1770">Y206</f>
        <v>-</v>
      </c>
      <c r="CB206" s="72">
        <f t="shared" ref="CB206" si="1771">AC206</f>
        <v>151</v>
      </c>
      <c r="CC206" s="71">
        <f t="shared" ref="CC206" si="1772">AG206</f>
        <v>187</v>
      </c>
      <c r="CD206" s="72">
        <f t="shared" ref="CD206" si="1773">AK206</f>
        <v>194</v>
      </c>
      <c r="CE206" s="71">
        <f t="shared" ref="CE206" si="1774">AO206</f>
        <v>241</v>
      </c>
      <c r="CF206" s="72">
        <f t="shared" ref="CF206" si="1775">AS206</f>
        <v>280</v>
      </c>
      <c r="CG206" s="71">
        <f t="shared" ref="CG206" si="1776">AW206</f>
        <v>311</v>
      </c>
      <c r="CH206" s="70">
        <f t="shared" ref="CH206" si="1777">G206</f>
        <v>65</v>
      </c>
      <c r="CI206" s="71" t="str">
        <f t="shared" ref="CI206" si="1778">K206</f>
        <v>-</v>
      </c>
      <c r="CJ206" s="72">
        <f t="shared" ref="CJ206" si="1779">O206</f>
        <v>101</v>
      </c>
      <c r="CK206" s="72">
        <f t="shared" ref="CK206" si="1780">S206</f>
        <v>106</v>
      </c>
      <c r="CL206" s="72">
        <f t="shared" ref="CL206" si="1781">W206</f>
        <v>142</v>
      </c>
      <c r="CM206" s="72" t="str">
        <f t="shared" ref="CM206" si="1782">AA206</f>
        <v>-</v>
      </c>
      <c r="CN206" s="72">
        <f t="shared" ref="CN206" si="1783">AE206</f>
        <v>174</v>
      </c>
      <c r="CO206" s="72">
        <f t="shared" ref="CO206" si="1784">AI206</f>
        <v>189</v>
      </c>
      <c r="CP206" s="72">
        <f t="shared" ref="CP206" si="1785">AM206</f>
        <v>232</v>
      </c>
      <c r="CQ206" s="72">
        <f t="shared" ref="CQ206" si="1786">AQ206</f>
        <v>274</v>
      </c>
      <c r="CR206" s="72">
        <f t="shared" ref="CR206" si="1787">AU206</f>
        <v>309</v>
      </c>
      <c r="CS206" s="72">
        <f t="shared" ref="CS206" si="1788">AY206</f>
        <v>321</v>
      </c>
      <c r="CT206" s="23" t="e">
        <f t="shared" ref="CT206" si="1789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" si="1790">CONCATENATE(B207,"_",C207)</f>
        <v>cltr2_human_6RZ8</v>
      </c>
      <c r="B207" s="3" t="s">
        <v>180</v>
      </c>
      <c r="C207" s="3" t="s">
        <v>1617</v>
      </c>
      <c r="D207" s="3" t="str">
        <f>IFERROR(MID(VLOOKUP($B207,Seqs!$A:$B,2,0),E207,1),"")</f>
        <v>T</v>
      </c>
      <c r="E207" s="3">
        <v>32</v>
      </c>
      <c r="F207" s="3" t="str">
        <f>IFERROR(MID(VLOOKUP($B207,Seqs!$A:$B,2,0),G207,1),"")</f>
        <v>Q</v>
      </c>
      <c r="G207" s="3">
        <v>65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T</v>
      </c>
      <c r="M207" s="3">
        <v>71</v>
      </c>
      <c r="N207" s="3" t="str">
        <f>IFERROR(MID(VLOOKUP($B207,Seqs!$A:$B,2,0),O207,1),"")</f>
        <v>G</v>
      </c>
      <c r="O207" s="3">
        <v>101</v>
      </c>
      <c r="P207" s="3" t="str">
        <f>IFERROR(MID(VLOOKUP($B207,Seqs!$A:$B,2,0),Q207,1),"")</f>
        <v>N</v>
      </c>
      <c r="Q207" s="3">
        <v>103</v>
      </c>
      <c r="R207" s="3" t="str">
        <f>IFERROR(MID(VLOOKUP($B207,Seqs!$A:$B,2,0),S207,1),"")</f>
        <v>F</v>
      </c>
      <c r="S207" s="3">
        <v>106</v>
      </c>
      <c r="T207" s="3" t="str">
        <f>IFERROR(MID(VLOOKUP($B207,Seqs!$A:$B,2,0),U207,1),"")</f>
        <v>G</v>
      </c>
      <c r="U207" s="3">
        <v>107</v>
      </c>
      <c r="V207" s="3" t="str">
        <f>IFERROR(MID(VLOOKUP($B207,Seqs!$A:$B,2,0),W207,1),"")</f>
        <v>H</v>
      </c>
      <c r="W207" s="3">
        <v>142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3">
        <v>151</v>
      </c>
      <c r="AD207" s="3" t="str">
        <f>IFERROR(MID(VLOOKUP($B207,Seqs!$A:$B,2,0),AE207,1),"")</f>
        <v>S</v>
      </c>
      <c r="AE207" s="3">
        <v>176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E</v>
      </c>
      <c r="AI207" s="3">
        <v>189</v>
      </c>
      <c r="AJ207" s="3" t="str">
        <f>IFERROR(MID(VLOOKUP($B207,Seqs!$A:$B,2,0),AK207,1),"")</f>
        <v>K</v>
      </c>
      <c r="AK207" s="3">
        <v>194</v>
      </c>
      <c r="AL207" s="3" t="str">
        <f>IFERROR(MID(VLOOKUP($B207,Seqs!$A:$B,2,0),AM207,1),"")</f>
        <v>E</v>
      </c>
      <c r="AM207" s="3">
        <v>232</v>
      </c>
      <c r="AN207" s="3" t="str">
        <f>IFERROR(MID(VLOOKUP($B207,Seqs!$A:$B,2,0),AO207,1),"")</f>
        <v>S</v>
      </c>
      <c r="AO207" s="3">
        <v>241</v>
      </c>
      <c r="AP207" s="3" t="str">
        <f>IFERROR(MID(VLOOKUP($B207,Seqs!$A:$B,2,0),AQ207,1),"")</f>
        <v>W</v>
      </c>
      <c r="AQ207" s="3">
        <v>274</v>
      </c>
      <c r="AR207" s="3" t="str">
        <f>IFERROR(MID(VLOOKUP($B207,Seqs!$A:$B,2,0),AS207,1),"")</f>
        <v>K</v>
      </c>
      <c r="AS207" s="3">
        <v>280</v>
      </c>
      <c r="AT207" s="3" t="str">
        <f>IFERROR(MID(VLOOKUP($B207,Seqs!$A:$B,2,0),AU207,1),"")</f>
        <v>E</v>
      </c>
      <c r="AU207" s="3">
        <v>310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Leukotriene</v>
      </c>
      <c r="BB207" s="27" t="b">
        <f t="shared" ref="BB207" si="1791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" si="1792">_xlfn.AGGREGATE(9,6,CH207:CS207)-_xlfn.AGGREGATE(9,6,BV207:CG207)+12</f>
        <v>241</v>
      </c>
      <c r="BD207" s="16" t="s">
        <v>23</v>
      </c>
      <c r="BE207" s="3" t="s">
        <v>1467</v>
      </c>
      <c r="BF207" s="118">
        <v>2.7</v>
      </c>
      <c r="BG207" s="49" t="s">
        <v>1</v>
      </c>
      <c r="BH207" s="49" t="s">
        <v>1</v>
      </c>
      <c r="BI207" s="1"/>
      <c r="BJ207" s="70" t="s">
        <v>1283</v>
      </c>
      <c r="BK207" s="57" t="s">
        <v>1283</v>
      </c>
      <c r="BL207" s="57" t="s">
        <v>1283</v>
      </c>
      <c r="BM207" s="57" t="s">
        <v>1283</v>
      </c>
      <c r="BN207" s="57" t="s">
        <v>1283</v>
      </c>
      <c r="BO207" s="57" t="s">
        <v>1283</v>
      </c>
      <c r="BP207" s="57" t="s">
        <v>1283</v>
      </c>
      <c r="BQ207" s="57" t="s">
        <v>1283</v>
      </c>
      <c r="BR207" s="57" t="s">
        <v>1283</v>
      </c>
      <c r="BS207" s="57" t="s">
        <v>1283</v>
      </c>
      <c r="BT207" s="57" t="s">
        <v>1283</v>
      </c>
      <c r="BU207" s="57" t="s">
        <v>1283</v>
      </c>
      <c r="BV207" s="70">
        <f t="shared" ref="BV207" si="1793">E207</f>
        <v>32</v>
      </c>
      <c r="BW207" s="71" t="str">
        <f t="shared" ref="BW207" si="1794">I207</f>
        <v>-</v>
      </c>
      <c r="BX207" s="72">
        <f t="shared" ref="BX207" si="1795">M207</f>
        <v>71</v>
      </c>
      <c r="BY207" s="71">
        <f t="shared" ref="BY207" si="1796">Q207</f>
        <v>103</v>
      </c>
      <c r="BZ207" s="72">
        <f t="shared" ref="BZ207" si="1797">U207</f>
        <v>107</v>
      </c>
      <c r="CA207" s="71" t="str">
        <f t="shared" ref="CA207" si="1798">Y207</f>
        <v>-</v>
      </c>
      <c r="CB207" s="72">
        <f t="shared" ref="CB207" si="1799">AC207</f>
        <v>151</v>
      </c>
      <c r="CC207" s="71">
        <f t="shared" ref="CC207" si="1800">AG207</f>
        <v>187</v>
      </c>
      <c r="CD207" s="72">
        <f t="shared" ref="CD207" si="1801">AK207</f>
        <v>194</v>
      </c>
      <c r="CE207" s="71">
        <f t="shared" ref="CE207" si="1802">AO207</f>
        <v>241</v>
      </c>
      <c r="CF207" s="72">
        <f t="shared" ref="CF207" si="1803">AS207</f>
        <v>280</v>
      </c>
      <c r="CG207" s="71" t="str">
        <f t="shared" ref="CG207" si="1804">AW207</f>
        <v>-</v>
      </c>
      <c r="CH207" s="70">
        <f t="shared" ref="CH207" si="1805">G207</f>
        <v>65</v>
      </c>
      <c r="CI207" s="71" t="str">
        <f t="shared" ref="CI207" si="1806">K207</f>
        <v>-</v>
      </c>
      <c r="CJ207" s="72">
        <f t="shared" ref="CJ207" si="1807">O207</f>
        <v>101</v>
      </c>
      <c r="CK207" s="72">
        <f t="shared" ref="CK207" si="1808">S207</f>
        <v>106</v>
      </c>
      <c r="CL207" s="72">
        <f t="shared" ref="CL207" si="1809">W207</f>
        <v>142</v>
      </c>
      <c r="CM207" s="72" t="str">
        <f t="shared" ref="CM207" si="1810">AA207</f>
        <v>-</v>
      </c>
      <c r="CN207" s="72">
        <f t="shared" ref="CN207" si="1811">AE207</f>
        <v>176</v>
      </c>
      <c r="CO207" s="72">
        <f t="shared" ref="CO207" si="1812">AI207</f>
        <v>189</v>
      </c>
      <c r="CP207" s="72">
        <f t="shared" ref="CP207" si="1813">AM207</f>
        <v>232</v>
      </c>
      <c r="CQ207" s="72">
        <f t="shared" ref="CQ207" si="1814">AQ207</f>
        <v>274</v>
      </c>
      <c r="CR207" s="72">
        <f t="shared" ref="CR207" si="1815">AU207</f>
        <v>310</v>
      </c>
      <c r="CS207" s="72" t="str">
        <f t="shared" ref="CS207" si="1816">AY207</f>
        <v>-</v>
      </c>
      <c r="CT207" s="23" t="e">
        <f t="shared" ref="CT207" si="1817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ref="A208" si="1818">CONCATENATE(B208,"_",C208)</f>
        <v>cltr2_human_6RZ9</v>
      </c>
      <c r="B208" s="3" t="s">
        <v>180</v>
      </c>
      <c r="C208" s="3" t="s">
        <v>1618</v>
      </c>
      <c r="D208" s="3" t="str">
        <f>IFERROR(MID(VLOOKUP($B208,Seqs!$A:$B,2,0),E208,1),"")</f>
        <v>C</v>
      </c>
      <c r="E208" s="3">
        <v>31</v>
      </c>
      <c r="F208" s="3" t="str">
        <f>IFERROR(MID(VLOOKUP($B208,Seqs!$A:$B,2,0),G208,1),"")</f>
        <v>Q</v>
      </c>
      <c r="G208" s="3">
        <v>65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T</v>
      </c>
      <c r="M208" s="3">
        <v>71</v>
      </c>
      <c r="N208" s="3" t="str">
        <f>IFERROR(MID(VLOOKUP($B208,Seqs!$A:$B,2,0),O208,1),"")</f>
        <v>G</v>
      </c>
      <c r="O208" s="3">
        <v>101</v>
      </c>
      <c r="P208" s="3" t="str">
        <f>IFERROR(MID(VLOOKUP($B208,Seqs!$A:$B,2,0),Q208,1),"")</f>
        <v>N</v>
      </c>
      <c r="Q208" s="3">
        <v>103</v>
      </c>
      <c r="R208" s="3" t="str">
        <f>IFERROR(MID(VLOOKUP($B208,Seqs!$A:$B,2,0),S208,1),"")</f>
        <v>F</v>
      </c>
      <c r="S208" s="3">
        <v>106</v>
      </c>
      <c r="T208" s="3" t="str">
        <f>IFERROR(MID(VLOOKUP($B208,Seqs!$A:$B,2,0),U208,1),"")</f>
        <v>G</v>
      </c>
      <c r="U208" s="3">
        <v>107</v>
      </c>
      <c r="V208" s="3" t="str">
        <f>IFERROR(MID(VLOOKUP($B208,Seqs!$A:$B,2,0),W208,1),"")</f>
        <v>H</v>
      </c>
      <c r="W208" s="3">
        <v>142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H</v>
      </c>
      <c r="AC208" s="3">
        <v>148</v>
      </c>
      <c r="AD208" s="3" t="str">
        <f>IFERROR(MID(VLOOKUP($B208,Seqs!$A:$B,2,0),AE208,1),"")</f>
        <v>S</v>
      </c>
      <c r="AE208" s="3">
        <v>176</v>
      </c>
      <c r="AF208" s="3" t="str">
        <f>IFERROR(MID(VLOOKUP($B208,Seqs!$A:$B,2,0),AG208,1),"")</f>
        <v>C</v>
      </c>
      <c r="AG208" s="3">
        <v>187</v>
      </c>
      <c r="AH208" s="3" t="str">
        <f>IFERROR(MID(VLOOKUP($B208,Seqs!$A:$B,2,0),AI208,1),"")</f>
        <v>E</v>
      </c>
      <c r="AI208" s="3">
        <v>189</v>
      </c>
      <c r="AJ208" s="3" t="str">
        <f>IFERROR(MID(VLOOKUP($B208,Seqs!$A:$B,2,0),AK208,1),"")</f>
        <v>K</v>
      </c>
      <c r="AK208" s="3">
        <v>194</v>
      </c>
      <c r="AL208" s="3" t="str">
        <f>IFERROR(MID(VLOOKUP($B208,Seqs!$A:$B,2,0),AM208,1),"")</f>
        <v>E</v>
      </c>
      <c r="AM208" s="3">
        <v>232</v>
      </c>
      <c r="AN208" s="3" t="str">
        <f>IFERROR(MID(VLOOKUP($B208,Seqs!$A:$B,2,0),AO208,1),"")</f>
        <v>S</v>
      </c>
      <c r="AO208" s="3">
        <v>241</v>
      </c>
      <c r="AP208" s="3" t="str">
        <f>IFERROR(MID(VLOOKUP($B208,Seqs!$A:$B,2,0),AQ208,1),"")</f>
        <v>W</v>
      </c>
      <c r="AQ208" s="3">
        <v>274</v>
      </c>
      <c r="AR208" s="3" t="str">
        <f>IFERROR(MID(VLOOKUP($B208,Seqs!$A:$B,2,0),AS208,1),"")</f>
        <v>K</v>
      </c>
      <c r="AS208" s="3">
        <v>280</v>
      </c>
      <c r="AT208" s="3" t="str">
        <f>IFERROR(MID(VLOOKUP($B208,Seqs!$A:$B,2,0),AU208,1),"")</f>
        <v>A</v>
      </c>
      <c r="AU208" s="3">
        <v>308</v>
      </c>
      <c r="AV208" s="3" t="str">
        <f>IFERROR(MID(VLOOKUP($B208,Seqs!$A:$B,2,0),AW208,1),"")</f>
        <v>N</v>
      </c>
      <c r="AW208" s="3">
        <v>311</v>
      </c>
      <c r="AX208" s="3" t="str">
        <f>IFERROR(MID(VLOOKUP($B208,Seqs!$A:$B,2,0),AY208,1),"")</f>
        <v>R</v>
      </c>
      <c r="AY208" s="3">
        <v>321</v>
      </c>
      <c r="AZ208" s="77" t="str">
        <f>VLOOKUP(B208,Classification!A:D,2,0)</f>
        <v>A</v>
      </c>
      <c r="BA208" s="94" t="str">
        <f>VLOOKUP(B208,Classification!A:D,4,0)</f>
        <v>Leukotriene</v>
      </c>
      <c r="BB208" s="27" t="b">
        <f t="shared" ref="BB208" si="1819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820">_xlfn.AGGREGATE(9,6,CH208:CS208)-_xlfn.AGGREGATE(9,6,BV208:CG208)+12</f>
        <v>253</v>
      </c>
      <c r="BD208" s="16" t="s">
        <v>1425</v>
      </c>
      <c r="BE208" s="3" t="s">
        <v>1467</v>
      </c>
      <c r="BF208" s="118">
        <v>2.73</v>
      </c>
      <c r="BG208" s="49" t="s">
        <v>1</v>
      </c>
      <c r="BH208" s="49" t="s">
        <v>1</v>
      </c>
      <c r="BI208" s="1"/>
      <c r="BJ208" s="70" t="s">
        <v>1283</v>
      </c>
      <c r="BK208" s="57" t="s">
        <v>1283</v>
      </c>
      <c r="BL208" s="57" t="s">
        <v>1283</v>
      </c>
      <c r="BM208" s="57" t="s">
        <v>1283</v>
      </c>
      <c r="BN208" s="57" t="s">
        <v>1283</v>
      </c>
      <c r="BO208" s="57" t="s">
        <v>1283</v>
      </c>
      <c r="BP208" s="57" t="s">
        <v>1283</v>
      </c>
      <c r="BQ208" s="57" t="s">
        <v>1283</v>
      </c>
      <c r="BR208" s="57" t="s">
        <v>1283</v>
      </c>
      <c r="BS208" s="57" t="s">
        <v>1283</v>
      </c>
      <c r="BT208" s="57" t="s">
        <v>1283</v>
      </c>
      <c r="BU208" s="57" t="s">
        <v>1283</v>
      </c>
      <c r="BV208" s="70">
        <f t="shared" ref="BV208" si="1821">E208</f>
        <v>31</v>
      </c>
      <c r="BW208" s="71" t="str">
        <f t="shared" ref="BW208" si="1822">I208</f>
        <v>-</v>
      </c>
      <c r="BX208" s="72">
        <f t="shared" ref="BX208" si="1823">M208</f>
        <v>71</v>
      </c>
      <c r="BY208" s="71">
        <f t="shared" ref="BY208" si="1824">Q208</f>
        <v>103</v>
      </c>
      <c r="BZ208" s="72">
        <f t="shared" ref="BZ208" si="1825">U208</f>
        <v>107</v>
      </c>
      <c r="CA208" s="71" t="str">
        <f t="shared" ref="CA208" si="1826">Y208</f>
        <v>-</v>
      </c>
      <c r="CB208" s="72">
        <f t="shared" ref="CB208" si="1827">AC208</f>
        <v>148</v>
      </c>
      <c r="CC208" s="71">
        <f t="shared" ref="CC208" si="1828">AG208</f>
        <v>187</v>
      </c>
      <c r="CD208" s="72">
        <f t="shared" ref="CD208" si="1829">AK208</f>
        <v>194</v>
      </c>
      <c r="CE208" s="71">
        <f t="shared" ref="CE208" si="1830">AO208</f>
        <v>241</v>
      </c>
      <c r="CF208" s="72">
        <f t="shared" ref="CF208" si="1831">AS208</f>
        <v>280</v>
      </c>
      <c r="CG208" s="71">
        <f t="shared" ref="CG208" si="1832">AW208</f>
        <v>311</v>
      </c>
      <c r="CH208" s="70">
        <f t="shared" ref="CH208" si="1833">G208</f>
        <v>65</v>
      </c>
      <c r="CI208" s="71" t="str">
        <f t="shared" ref="CI208" si="1834">K208</f>
        <v>-</v>
      </c>
      <c r="CJ208" s="72">
        <f t="shared" ref="CJ208" si="1835">O208</f>
        <v>101</v>
      </c>
      <c r="CK208" s="72">
        <f t="shared" ref="CK208" si="1836">S208</f>
        <v>106</v>
      </c>
      <c r="CL208" s="72">
        <f t="shared" ref="CL208" si="1837">W208</f>
        <v>142</v>
      </c>
      <c r="CM208" s="72" t="str">
        <f t="shared" ref="CM208" si="1838">AA208</f>
        <v>-</v>
      </c>
      <c r="CN208" s="72">
        <f t="shared" ref="CN208" si="1839">AE208</f>
        <v>176</v>
      </c>
      <c r="CO208" s="72">
        <f t="shared" ref="CO208" si="1840">AI208</f>
        <v>189</v>
      </c>
      <c r="CP208" s="72">
        <f t="shared" ref="CP208" si="1841">AM208</f>
        <v>232</v>
      </c>
      <c r="CQ208" s="72">
        <f t="shared" ref="CQ208" si="1842">AQ208</f>
        <v>274</v>
      </c>
      <c r="CR208" s="72">
        <f t="shared" ref="CR208" si="1843">AU208</f>
        <v>308</v>
      </c>
      <c r="CS208" s="72">
        <f t="shared" ref="CS208" si="1844">AY208</f>
        <v>321</v>
      </c>
      <c r="CT208" s="23" t="e">
        <f t="shared" ref="CT208" si="1845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1231"/>
        <v>cnr1_human__wt</v>
      </c>
      <c r="B209" s="3" t="s">
        <v>182</v>
      </c>
      <c r="C209" s="3" t="s">
        <v>100</v>
      </c>
      <c r="D209" s="3" t="str">
        <f>IFERROR(MID(VLOOKUP($B209,Seqs!$A:$B,2,0),E209,1),"")</f>
        <v>N</v>
      </c>
      <c r="E209" s="3">
        <v>112</v>
      </c>
      <c r="F209" s="3" t="str">
        <f>IFERROR(MID(VLOOKUP($B209,Seqs!$A:$B,2,0),G209,1),"")</f>
        <v>S</v>
      </c>
      <c r="G209" s="3">
        <v>144</v>
      </c>
      <c r="H209" s="3" t="str">
        <f>IFERROR(MID(VLOOKUP($B209,Seqs!$A:$B,2,0),I209,1),"")</f>
        <v>R</v>
      </c>
      <c r="I209" s="23">
        <v>145</v>
      </c>
      <c r="J209" s="3" t="str">
        <f>IFERROR(MID(VLOOKUP($B209,Seqs!$A:$B,2,0),K209,1),"")</f>
        <v>R</v>
      </c>
      <c r="K209" s="23">
        <v>148</v>
      </c>
      <c r="L209" s="3" t="str">
        <f>IFERROR(MID(VLOOKUP($B209,Seqs!$A:$B,2,0),M209,1),"")</f>
        <v>R</v>
      </c>
      <c r="M209" s="3">
        <v>150</v>
      </c>
      <c r="N209" s="3" t="str">
        <f>IFERROR(MID(VLOOKUP($B209,Seqs!$A:$B,2,0),O209,1),"")</f>
        <v>V</v>
      </c>
      <c r="O209" s="3">
        <v>179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S</v>
      </c>
      <c r="U209" s="3">
        <v>185</v>
      </c>
      <c r="V209" s="3" t="str">
        <f>IFERROR(MID(VLOOKUP($B209,Seqs!$A:$B,2,0),W209,1),"")</f>
        <v>R</v>
      </c>
      <c r="W209" s="3">
        <v>220</v>
      </c>
      <c r="X209" s="3" t="str">
        <f>IFERROR(MID(VLOOKUP($B209,Seqs!$A:$B,2,0),Y209,1),"")</f>
        <v>P</v>
      </c>
      <c r="Y209" s="3">
        <v>221</v>
      </c>
      <c r="Z209" s="3" t="str">
        <f>IFERROR(MID(VLOOKUP($B209,Seqs!$A:$B,2,0),AA209,1),"")</f>
        <v>V</v>
      </c>
      <c r="AA209" s="3">
        <v>228</v>
      </c>
      <c r="AB209" s="3" t="str">
        <f>IFERROR(MID(VLOOKUP($B209,Seqs!$A:$B,2,0),AC209,1),"")</f>
        <v>T</v>
      </c>
      <c r="AC209" s="3">
        <v>229</v>
      </c>
      <c r="AD209" s="3" t="str">
        <f>IFERROR(MID(VLOOKUP($B209,Seqs!$A:$B,2,0),AE209,1),"")</f>
        <v>G</v>
      </c>
      <c r="AE209" s="3">
        <v>254</v>
      </c>
      <c r="AF209" s="3" t="str">
        <f>IFERROR(MID(VLOOKUP($B209,Seqs!$A:$B,2,0),AG209,1),"")</f>
        <v/>
      </c>
      <c r="AG209" s="3" t="s">
        <v>23</v>
      </c>
      <c r="AH209" s="3" t="str">
        <f>IFERROR(MID(VLOOKUP($B209,Seqs!$A:$B,2,0),AI209,1),"")</f>
        <v/>
      </c>
      <c r="AI209" s="3" t="s">
        <v>23</v>
      </c>
      <c r="AJ209" s="3" t="str">
        <f>IFERROR(MID(VLOOKUP($B209,Seqs!$A:$B,2,0),AK209,1),"")</f>
        <v>D</v>
      </c>
      <c r="AK209" s="3">
        <v>272</v>
      </c>
      <c r="AL209" s="3" t="str">
        <f>IFERROR(MID(VLOOKUP($B209,Seqs!$A:$B,2,0),AM209,1),"")</f>
        <v>G</v>
      </c>
      <c r="AM209" s="3">
        <v>312</v>
      </c>
      <c r="AN209" s="3" t="str">
        <f>IFERROR(MID(VLOOKUP($B209,Seqs!$A:$B,2,0),AO209,1),"")</f>
        <v>P</v>
      </c>
      <c r="AO209" s="3">
        <v>332</v>
      </c>
      <c r="AP209" s="3" t="str">
        <f>IFERROR(MID(VLOOKUP($B209,Seqs!$A:$B,2,0),AQ209,1),"")</f>
        <v>G</v>
      </c>
      <c r="AQ209" s="3">
        <v>369</v>
      </c>
      <c r="AR209" s="3" t="str">
        <f>IFERROR(MID(VLOOKUP($B209,Seqs!$A:$B,2,0),AS209,1),"")</f>
        <v>N</v>
      </c>
      <c r="AS209" s="3">
        <v>372</v>
      </c>
      <c r="AT209" s="3" t="str">
        <f>IFERROR(MID(VLOOKUP($B209,Seqs!$A:$B,2,0),AU209,1),"")</f>
        <v>R</v>
      </c>
      <c r="AU209" s="3">
        <v>400</v>
      </c>
      <c r="AV209" s="3" t="str">
        <f>IFERROR(MID(VLOOKUP($B209,Seqs!$A:$B,2,0),AW209,1),"")</f>
        <v>S</v>
      </c>
      <c r="AW209" s="3">
        <v>401</v>
      </c>
      <c r="AX209" s="3" t="str">
        <f>IFERROR(MID(VLOOKUP($B209,Seqs!$A:$B,2,0),AY209,1),"")</f>
        <v>P</v>
      </c>
      <c r="AY209" s="3">
        <v>413</v>
      </c>
      <c r="AZ209" s="77" t="str">
        <f>VLOOKUP(B209,Classification!A:D,2,0)</f>
        <v>A</v>
      </c>
      <c r="BA209" s="94" t="str">
        <f>VLOOKUP(B209,Classification!A:D,4,0)</f>
        <v>Cannabinoid</v>
      </c>
      <c r="BB209" s="27" t="b">
        <f t="shared" si="1232"/>
        <v>1</v>
      </c>
      <c r="BC209" s="23">
        <f t="shared" si="981"/>
        <v>260</v>
      </c>
      <c r="BD209" s="56" t="s">
        <v>23</v>
      </c>
      <c r="BE209" s="3" t="s">
        <v>23</v>
      </c>
      <c r="BF209" s="118" t="s">
        <v>23</v>
      </c>
      <c r="BG209" s="49" t="s">
        <v>1368</v>
      </c>
      <c r="BH209" s="49" t="s">
        <v>1373</v>
      </c>
      <c r="BJ209" s="70" t="s">
        <v>1283</v>
      </c>
      <c r="BK209" s="57" t="s">
        <v>1283</v>
      </c>
      <c r="BL209" s="57" t="s">
        <v>1283</v>
      </c>
      <c r="BM209" s="57" t="s">
        <v>1283</v>
      </c>
      <c r="BN209" s="57" t="s">
        <v>1283</v>
      </c>
      <c r="BO209" s="57" t="s">
        <v>1283</v>
      </c>
      <c r="BP209" s="57" t="s">
        <v>1283</v>
      </c>
      <c r="BQ209" s="57" t="s">
        <v>1283</v>
      </c>
      <c r="BR209" s="57" t="s">
        <v>1283</v>
      </c>
      <c r="BS209" s="57" t="s">
        <v>1283</v>
      </c>
      <c r="BT209" s="57" t="s">
        <v>1283</v>
      </c>
      <c r="BU209" s="57" t="s">
        <v>1283</v>
      </c>
      <c r="BV209" s="70">
        <f t="shared" si="982"/>
        <v>112</v>
      </c>
      <c r="BW209" s="71">
        <f t="shared" si="983"/>
        <v>145</v>
      </c>
      <c r="BX209" s="72">
        <f t="shared" si="984"/>
        <v>150</v>
      </c>
      <c r="BY209" s="71" t="str">
        <f t="shared" si="985"/>
        <v>-</v>
      </c>
      <c r="BZ209" s="72">
        <f t="shared" si="986"/>
        <v>185</v>
      </c>
      <c r="CA209" s="71">
        <f t="shared" si="987"/>
        <v>221</v>
      </c>
      <c r="CB209" s="72">
        <f t="shared" si="988"/>
        <v>229</v>
      </c>
      <c r="CC209" s="71" t="str">
        <f t="shared" si="989"/>
        <v>-</v>
      </c>
      <c r="CD209" s="72">
        <f t="shared" si="990"/>
        <v>272</v>
      </c>
      <c r="CE209" s="71">
        <f t="shared" si="991"/>
        <v>332</v>
      </c>
      <c r="CF209" s="72">
        <f t="shared" si="992"/>
        <v>372</v>
      </c>
      <c r="CG209" s="71">
        <f t="shared" si="993"/>
        <v>401</v>
      </c>
      <c r="CH209" s="70">
        <f t="shared" si="994"/>
        <v>144</v>
      </c>
      <c r="CI209" s="71">
        <f t="shared" si="995"/>
        <v>148</v>
      </c>
      <c r="CJ209" s="72">
        <f t="shared" si="996"/>
        <v>179</v>
      </c>
      <c r="CK209" s="72" t="str">
        <f t="shared" si="997"/>
        <v>-</v>
      </c>
      <c r="CL209" s="72">
        <f t="shared" si="998"/>
        <v>220</v>
      </c>
      <c r="CM209" s="72">
        <f t="shared" si="999"/>
        <v>228</v>
      </c>
      <c r="CN209" s="72">
        <f t="shared" si="1000"/>
        <v>254</v>
      </c>
      <c r="CO209" s="72" t="str">
        <f t="shared" si="1001"/>
        <v>-</v>
      </c>
      <c r="CP209" s="72">
        <f t="shared" si="1002"/>
        <v>312</v>
      </c>
      <c r="CQ209" s="72">
        <f t="shared" si="1003"/>
        <v>369</v>
      </c>
      <c r="CR209" s="72">
        <f t="shared" si="1004"/>
        <v>400</v>
      </c>
      <c r="CS209" s="72">
        <f t="shared" si="1005"/>
        <v>413</v>
      </c>
      <c r="CT209" s="23">
        <f t="shared" si="1006"/>
        <v>2</v>
      </c>
    </row>
    <row r="210" spans="1:1030" s="3" customFormat="1" x14ac:dyDescent="0.2">
      <c r="A210" s="3" t="str">
        <f t="shared" si="1231"/>
        <v>cnr1_human_5TGZ</v>
      </c>
      <c r="B210" s="3" t="s">
        <v>182</v>
      </c>
      <c r="C210" s="3" t="s">
        <v>1355</v>
      </c>
      <c r="D210" s="3" t="str">
        <f>IFERROR(MID(VLOOKUP($B210,Seqs!$A:$B,2,0),E210,1),"")</f>
        <v>P</v>
      </c>
      <c r="E210" s="3">
        <v>113</v>
      </c>
      <c r="F210" s="3" t="str">
        <f>IFERROR(MID(VLOOKUP($B210,Seqs!$A:$B,2,0),G210,1),"")</f>
        <v>S</v>
      </c>
      <c r="G210" s="3">
        <v>144</v>
      </c>
      <c r="H210" s="3" t="str">
        <f>IFERROR(MID(VLOOKUP($B210,Seqs!$A:$B,2,0),I210,1),"")</f>
        <v>R</v>
      </c>
      <c r="I210" s="23">
        <v>145</v>
      </c>
      <c r="J210" s="3" t="str">
        <f>IFERROR(MID(VLOOKUP($B210,Seqs!$A:$B,2,0),K210,1),"")</f>
        <v>R</v>
      </c>
      <c r="K210" s="23">
        <v>148</v>
      </c>
      <c r="L210" s="3" t="str">
        <f>IFERROR(MID(VLOOKUP($B210,Seqs!$A:$B,2,0),M210,1),"")</f>
        <v>R</v>
      </c>
      <c r="M210" s="3">
        <v>150</v>
      </c>
      <c r="N210" s="3" t="str">
        <f>IFERROR(MID(VLOOKUP($B210,Seqs!$A:$B,2,0),O210,1),"")</f>
        <v>V</v>
      </c>
      <c r="O210" s="3">
        <v>179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S</v>
      </c>
      <c r="U210" s="3">
        <v>185</v>
      </c>
      <c r="V210" s="3" t="str">
        <f>IFERROR(MID(VLOOKUP($B210,Seqs!$A:$B,2,0),W210,1),"")</f>
        <v>R</v>
      </c>
      <c r="W210" s="3">
        <v>220</v>
      </c>
      <c r="X210" s="3" t="str">
        <f>IFERROR(MID(VLOOKUP($B210,Seqs!$A:$B,2,0),Y210,1),"")</f>
        <v>P</v>
      </c>
      <c r="Y210" s="3">
        <v>221</v>
      </c>
      <c r="Z210" s="3" t="str">
        <f>IFERROR(MID(VLOOKUP($B210,Seqs!$A:$B,2,0),AA210,1),"")</f>
        <v>V</v>
      </c>
      <c r="AA210" s="3">
        <v>228</v>
      </c>
      <c r="AB210" s="3" t="str">
        <f>IFERROR(MID(VLOOKUP($B210,Seqs!$A:$B,2,0),AC210,1),"")</f>
        <v>T</v>
      </c>
      <c r="AC210" s="3">
        <v>229</v>
      </c>
      <c r="AD210" s="3" t="str">
        <f>IFERROR(MID(VLOOKUP($B210,Seqs!$A:$B,2,0),AE210,1),"")</f>
        <v>G</v>
      </c>
      <c r="AE210" s="3">
        <v>254</v>
      </c>
      <c r="AF210" s="3" t="str">
        <f>IFERROR(MID(VLOOKUP($B210,Seqs!$A:$B,2,0),AG210,1),"")</f>
        <v/>
      </c>
      <c r="AG210" s="3" t="s">
        <v>23</v>
      </c>
      <c r="AH210" s="3" t="str">
        <f>IFERROR(MID(VLOOKUP($B210,Seqs!$A:$B,2,0),AI210,1),"")</f>
        <v/>
      </c>
      <c r="AI210" s="3" t="s">
        <v>23</v>
      </c>
      <c r="AJ210" s="3" t="str">
        <f>IFERROR(MID(VLOOKUP($B210,Seqs!$A:$B,2,0),AK210,1),"")</f>
        <v>D</v>
      </c>
      <c r="AK210" s="3">
        <v>272</v>
      </c>
      <c r="AL210" s="3" t="str">
        <f>IFERROR(MID(VLOOKUP($B210,Seqs!$A:$B,2,0),AM210,1),"")</f>
        <v>H</v>
      </c>
      <c r="AM210" s="3">
        <v>304</v>
      </c>
      <c r="AN210" s="3" t="str">
        <f>IFERROR(MID(VLOOKUP($B210,Seqs!$A:$B,2,0),AO210,1),"")</f>
        <v>P</v>
      </c>
      <c r="AO210" s="3">
        <v>332</v>
      </c>
      <c r="AP210" s="3" t="str">
        <f>IFERROR(MID(VLOOKUP($B210,Seqs!$A:$B,2,0),AQ210,1),"")</f>
        <v>F</v>
      </c>
      <c r="AQ210" s="3">
        <v>368</v>
      </c>
      <c r="AR210" s="3" t="str">
        <f>IFERROR(MID(VLOOKUP($B210,Seqs!$A:$B,2,0),AS210,1),"")</f>
        <v>N</v>
      </c>
      <c r="AS210" s="3">
        <v>372</v>
      </c>
      <c r="AT210" s="3" t="str">
        <f>IFERROR(MID(VLOOKUP($B210,Seqs!$A:$B,2,0),AU210,1),"")</f>
        <v>R</v>
      </c>
      <c r="AU210" s="3">
        <v>400</v>
      </c>
      <c r="AV210" s="3" t="str">
        <f>IFERROR(MID(VLOOKUP($B210,Seqs!$A:$B,2,0),AW210,1),"")</f>
        <v>S</v>
      </c>
      <c r="AW210" s="3">
        <v>401</v>
      </c>
      <c r="AX210" s="3" t="str">
        <f>IFERROR(MID(VLOOKUP($B210,Seqs!$A:$B,2,0),AY210,1),"")</f>
        <v>M</v>
      </c>
      <c r="AY210" s="3">
        <v>411</v>
      </c>
      <c r="AZ210" s="77" t="str">
        <f>VLOOKUP(B210,Classification!A:D,2,0)</f>
        <v>A</v>
      </c>
      <c r="BA210" s="94" t="str">
        <f>VLOOKUP(B210,Classification!A:D,4,0)</f>
        <v>Cannabinoid</v>
      </c>
      <c r="BB210" s="27" t="b">
        <f t="shared" si="1232"/>
        <v>1</v>
      </c>
      <c r="BC210" s="23">
        <f t="shared" si="981"/>
        <v>248</v>
      </c>
      <c r="BD210" s="16" t="s">
        <v>1372</v>
      </c>
      <c r="BE210" s="3" t="s">
        <v>1370</v>
      </c>
      <c r="BF210" s="118">
        <v>2.8</v>
      </c>
      <c r="BG210" s="49" t="s">
        <v>1373</v>
      </c>
      <c r="BH210" s="49" t="s">
        <v>1373</v>
      </c>
      <c r="BJ210" s="70" t="s">
        <v>1283</v>
      </c>
      <c r="BK210" s="57" t="s">
        <v>1283</v>
      </c>
      <c r="BL210" s="57" t="s">
        <v>1283</v>
      </c>
      <c r="BM210" s="57" t="s">
        <v>1283</v>
      </c>
      <c r="BN210" s="57" t="s">
        <v>1283</v>
      </c>
      <c r="BO210" s="57" t="s">
        <v>1283</v>
      </c>
      <c r="BP210" s="57" t="s">
        <v>1283</v>
      </c>
      <c r="BQ210" s="57" t="s">
        <v>1283</v>
      </c>
      <c r="BR210" s="57" t="s">
        <v>1283</v>
      </c>
      <c r="BS210" s="57" t="s">
        <v>1283</v>
      </c>
      <c r="BT210" s="57" t="s">
        <v>1283</v>
      </c>
      <c r="BU210" s="57" t="s">
        <v>1283</v>
      </c>
      <c r="BV210" s="70">
        <f t="shared" si="982"/>
        <v>113</v>
      </c>
      <c r="BW210" s="71">
        <f t="shared" si="983"/>
        <v>145</v>
      </c>
      <c r="BX210" s="72">
        <f t="shared" si="984"/>
        <v>150</v>
      </c>
      <c r="BY210" s="71" t="str">
        <f t="shared" si="985"/>
        <v>-</v>
      </c>
      <c r="BZ210" s="72">
        <f t="shared" si="986"/>
        <v>185</v>
      </c>
      <c r="CA210" s="71">
        <f t="shared" si="987"/>
        <v>221</v>
      </c>
      <c r="CB210" s="72">
        <f t="shared" si="988"/>
        <v>229</v>
      </c>
      <c r="CC210" s="71" t="str">
        <f t="shared" si="989"/>
        <v>-</v>
      </c>
      <c r="CD210" s="72">
        <f t="shared" si="990"/>
        <v>272</v>
      </c>
      <c r="CE210" s="71">
        <f t="shared" si="991"/>
        <v>332</v>
      </c>
      <c r="CF210" s="72">
        <f t="shared" si="992"/>
        <v>372</v>
      </c>
      <c r="CG210" s="71">
        <f t="shared" si="993"/>
        <v>401</v>
      </c>
      <c r="CH210" s="70">
        <f t="shared" si="994"/>
        <v>144</v>
      </c>
      <c r="CI210" s="71">
        <f t="shared" si="995"/>
        <v>148</v>
      </c>
      <c r="CJ210" s="72">
        <f t="shared" si="996"/>
        <v>179</v>
      </c>
      <c r="CK210" s="72" t="str">
        <f t="shared" si="997"/>
        <v>-</v>
      </c>
      <c r="CL210" s="72">
        <f t="shared" si="998"/>
        <v>220</v>
      </c>
      <c r="CM210" s="72">
        <f t="shared" si="999"/>
        <v>228</v>
      </c>
      <c r="CN210" s="72">
        <f t="shared" si="1000"/>
        <v>254</v>
      </c>
      <c r="CO210" s="72" t="str">
        <f t="shared" si="1001"/>
        <v>-</v>
      </c>
      <c r="CP210" s="72">
        <f t="shared" si="1002"/>
        <v>304</v>
      </c>
      <c r="CQ210" s="72">
        <f t="shared" si="1003"/>
        <v>368</v>
      </c>
      <c r="CR210" s="72">
        <f t="shared" si="1004"/>
        <v>400</v>
      </c>
      <c r="CS210" s="72">
        <f t="shared" si="1005"/>
        <v>411</v>
      </c>
      <c r="CT210" s="23">
        <f t="shared" si="1006"/>
        <v>2</v>
      </c>
      <c r="AMP210" s="1"/>
    </row>
    <row r="211" spans="1:1030" x14ac:dyDescent="0.2">
      <c r="A211" s="3" t="str">
        <f t="shared" si="1231"/>
        <v>cnr1_human_5U09</v>
      </c>
      <c r="B211" s="3" t="s">
        <v>182</v>
      </c>
      <c r="C211" s="3" t="s">
        <v>1360</v>
      </c>
      <c r="D211" s="3" t="str">
        <f>IFERROR(MID(VLOOKUP($B211,Seqs!$A:$B,2,0),E211,1),"")</f>
        <v>N</v>
      </c>
      <c r="E211" s="3">
        <v>112</v>
      </c>
      <c r="F211" s="3" t="str">
        <f>IFERROR(MID(VLOOKUP($B211,Seqs!$A:$B,2,0),G211,1),"")</f>
        <v>S</v>
      </c>
      <c r="G211" s="3">
        <v>144</v>
      </c>
      <c r="H211" s="3" t="str">
        <f>IFERROR(MID(VLOOKUP($B211,Seqs!$A:$B,2,0),I211,1),"")</f>
        <v>R</v>
      </c>
      <c r="I211" s="23">
        <v>145</v>
      </c>
      <c r="J211" s="3" t="str">
        <f>IFERROR(MID(VLOOKUP($B211,Seqs!$A:$B,2,0),K211,1),"")</f>
        <v>R</v>
      </c>
      <c r="K211" s="23">
        <v>148</v>
      </c>
      <c r="L211" s="3" t="str">
        <f>IFERROR(MID(VLOOKUP($B211,Seqs!$A:$B,2,0),M211,1),"")</f>
        <v>R</v>
      </c>
      <c r="M211" s="3">
        <v>150</v>
      </c>
      <c r="N211" s="3" t="str">
        <f>IFERROR(MID(VLOOKUP($B211,Seqs!$A:$B,2,0),O211,1),"")</f>
        <v>V</v>
      </c>
      <c r="O211" s="3">
        <v>179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S</v>
      </c>
      <c r="U211" s="3">
        <v>185</v>
      </c>
      <c r="V211" s="3" t="str">
        <f>IFERROR(MID(VLOOKUP($B211,Seqs!$A:$B,2,0),W211,1),"")</f>
        <v>R</v>
      </c>
      <c r="W211" s="3">
        <v>220</v>
      </c>
      <c r="X211" s="3" t="str">
        <f>IFERROR(MID(VLOOKUP($B211,Seqs!$A:$B,2,0),Y211,1),"")</f>
        <v>P</v>
      </c>
      <c r="Y211" s="3">
        <v>221</v>
      </c>
      <c r="Z211" s="3" t="str">
        <f>IFERROR(MID(VLOOKUP($B211,Seqs!$A:$B,2,0),AA211,1),"")</f>
        <v>V</v>
      </c>
      <c r="AA211" s="3">
        <v>228</v>
      </c>
      <c r="AB211" s="3" t="str">
        <f>IFERROR(MID(VLOOKUP($B211,Seqs!$A:$B,2,0),AC211,1),"")</f>
        <v>T</v>
      </c>
      <c r="AC211" s="3">
        <v>229</v>
      </c>
      <c r="AD211" s="3" t="str">
        <f>IFERROR(MID(VLOOKUP($B211,Seqs!$A:$B,2,0),AE211,1),"")</f>
        <v>G</v>
      </c>
      <c r="AE211" s="3">
        <v>254</v>
      </c>
      <c r="AF211" s="3" t="str">
        <f>IFERROR(MID(VLOOKUP($B211,Seqs!$A:$B,2,0),AG211,1),"")</f>
        <v/>
      </c>
      <c r="AG211" s="3" t="s">
        <v>23</v>
      </c>
      <c r="AH211" s="3" t="str">
        <f>IFERROR(MID(VLOOKUP($B211,Seqs!$A:$B,2,0),AI211,1),"")</f>
        <v/>
      </c>
      <c r="AI211" s="3" t="s">
        <v>23</v>
      </c>
      <c r="AJ211" s="3" t="str">
        <f>IFERROR(MID(VLOOKUP($B211,Seqs!$A:$B,2,0),AK211,1),"")</f>
        <v>D</v>
      </c>
      <c r="AK211" s="3">
        <v>272</v>
      </c>
      <c r="AL211" s="3" t="str">
        <f>IFERROR(MID(VLOOKUP($B211,Seqs!$A:$B,2,0),AM211,1),"")</f>
        <v>A</v>
      </c>
      <c r="AM211" s="3">
        <v>301</v>
      </c>
      <c r="AN211" s="3" t="str">
        <f>IFERROR(MID(VLOOKUP($B211,Seqs!$A:$B,2,0),AO211,1),"")</f>
        <v>D</v>
      </c>
      <c r="AO211" s="3">
        <v>333</v>
      </c>
      <c r="AP211" s="3" t="str">
        <f>IFERROR(MID(VLOOKUP($B211,Seqs!$A:$B,2,0),AQ211,1),"")</f>
        <v>F</v>
      </c>
      <c r="AQ211" s="3">
        <v>368</v>
      </c>
      <c r="AR211" s="3" t="str">
        <f>IFERROR(MID(VLOOKUP($B211,Seqs!$A:$B,2,0),AS211,1),"")</f>
        <v>L</v>
      </c>
      <c r="AS211" s="3">
        <v>374</v>
      </c>
      <c r="AT211" s="3" t="str">
        <f>IFERROR(MID(VLOOKUP($B211,Seqs!$A:$B,2,0),AU211,1),"")</f>
        <v>R</v>
      </c>
      <c r="AU211" s="3">
        <v>400</v>
      </c>
      <c r="AV211" s="3" t="str">
        <f>IFERROR(MID(VLOOKUP($B211,Seqs!$A:$B,2,0),AW211,1),"")</f>
        <v>S</v>
      </c>
      <c r="AW211" s="3">
        <v>401</v>
      </c>
      <c r="AX211" s="3" t="str">
        <f>IFERROR(MID(VLOOKUP($B211,Seqs!$A:$B,2,0),AY211,1),"")</f>
        <v>M</v>
      </c>
      <c r="AY211" s="3">
        <v>411</v>
      </c>
      <c r="AZ211" s="77" t="str">
        <f>VLOOKUP(B211,Classification!A:D,2,0)</f>
        <v>A</v>
      </c>
      <c r="BA211" s="94" t="str">
        <f>VLOOKUP(B211,Classification!A:D,4,0)</f>
        <v>Cannabinoid</v>
      </c>
      <c r="BB211" s="27" t="b">
        <f t="shared" si="1232"/>
        <v>1</v>
      </c>
      <c r="BC211" s="23">
        <f t="shared" si="981"/>
        <v>243</v>
      </c>
      <c r="BD211" s="2" t="s">
        <v>23</v>
      </c>
      <c r="BE211" s="3" t="s">
        <v>1370</v>
      </c>
      <c r="BF211" s="118">
        <v>2.6</v>
      </c>
      <c r="BG211" s="49" t="s">
        <v>1373</v>
      </c>
      <c r="BH211" s="49" t="s">
        <v>1373</v>
      </c>
      <c r="BJ211" s="70" t="s">
        <v>1283</v>
      </c>
      <c r="BK211" s="57" t="s">
        <v>1283</v>
      </c>
      <c r="BL211" s="57" t="s">
        <v>1283</v>
      </c>
      <c r="BM211" s="57" t="s">
        <v>1283</v>
      </c>
      <c r="BN211" s="57" t="s">
        <v>1283</v>
      </c>
      <c r="BO211" s="57" t="s">
        <v>1283</v>
      </c>
      <c r="BP211" s="57" t="s">
        <v>1283</v>
      </c>
      <c r="BQ211" s="57" t="s">
        <v>1283</v>
      </c>
      <c r="BR211" s="57" t="s">
        <v>1283</v>
      </c>
      <c r="BS211" s="57" t="s">
        <v>1283</v>
      </c>
      <c r="BT211" s="57" t="s">
        <v>1283</v>
      </c>
      <c r="BU211" s="57" t="s">
        <v>1283</v>
      </c>
      <c r="BV211" s="70">
        <f t="shared" si="982"/>
        <v>112</v>
      </c>
      <c r="BW211" s="71">
        <f t="shared" si="983"/>
        <v>145</v>
      </c>
      <c r="BX211" s="72">
        <f t="shared" si="984"/>
        <v>150</v>
      </c>
      <c r="BY211" s="71" t="str">
        <f t="shared" si="985"/>
        <v>-</v>
      </c>
      <c r="BZ211" s="72">
        <f t="shared" si="986"/>
        <v>185</v>
      </c>
      <c r="CA211" s="71">
        <f t="shared" si="987"/>
        <v>221</v>
      </c>
      <c r="CB211" s="72">
        <f t="shared" si="988"/>
        <v>229</v>
      </c>
      <c r="CC211" s="71" t="str">
        <f t="shared" si="989"/>
        <v>-</v>
      </c>
      <c r="CD211" s="72">
        <f t="shared" si="990"/>
        <v>272</v>
      </c>
      <c r="CE211" s="71">
        <f t="shared" si="991"/>
        <v>333</v>
      </c>
      <c r="CF211" s="72">
        <f t="shared" si="992"/>
        <v>374</v>
      </c>
      <c r="CG211" s="71">
        <f t="shared" si="993"/>
        <v>401</v>
      </c>
      <c r="CH211" s="70">
        <f t="shared" si="994"/>
        <v>144</v>
      </c>
      <c r="CI211" s="71">
        <f t="shared" si="995"/>
        <v>148</v>
      </c>
      <c r="CJ211" s="72">
        <f t="shared" si="996"/>
        <v>179</v>
      </c>
      <c r="CK211" s="72" t="str">
        <f t="shared" si="997"/>
        <v>-</v>
      </c>
      <c r="CL211" s="72">
        <f t="shared" si="998"/>
        <v>220</v>
      </c>
      <c r="CM211" s="72">
        <f t="shared" si="999"/>
        <v>228</v>
      </c>
      <c r="CN211" s="72">
        <f t="shared" si="1000"/>
        <v>254</v>
      </c>
      <c r="CO211" s="72" t="str">
        <f t="shared" si="1001"/>
        <v>-</v>
      </c>
      <c r="CP211" s="72">
        <f t="shared" si="1002"/>
        <v>301</v>
      </c>
      <c r="CQ211" s="72">
        <f t="shared" si="1003"/>
        <v>368</v>
      </c>
      <c r="CR211" s="72">
        <f t="shared" si="1004"/>
        <v>400</v>
      </c>
      <c r="CS211" s="72">
        <f t="shared" si="1005"/>
        <v>411</v>
      </c>
      <c r="CT211" s="23">
        <f t="shared" si="1006"/>
        <v>2</v>
      </c>
    </row>
    <row r="212" spans="1:1030" x14ac:dyDescent="0.2">
      <c r="A212" s="3" t="str">
        <f t="shared" ref="A212:A218" si="1846">CONCATENATE(B212,"_",C212)</f>
        <v>cnr1_human_5XR8</v>
      </c>
      <c r="B212" s="3" t="s">
        <v>182</v>
      </c>
      <c r="C212" s="3" t="s">
        <v>1420</v>
      </c>
      <c r="D212" s="3" t="str">
        <f>IFERROR(MID(VLOOKUP($B212,Seqs!$A:$B,2,0),E212,1),"")</f>
        <v>N</v>
      </c>
      <c r="E212" s="3">
        <v>112</v>
      </c>
      <c r="F212" s="3" t="str">
        <f>IFERROR(MID(VLOOKUP($B212,Seqs!$A:$B,2,0),G212,1),"")</f>
        <v>S</v>
      </c>
      <c r="G212" s="3">
        <v>146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Y</v>
      </c>
      <c r="M212" s="3">
        <v>153</v>
      </c>
      <c r="N212" s="3" t="str">
        <f>IFERROR(MID(VLOOKUP($B212,Seqs!$A:$B,2,0),O212,1),"")</f>
        <v>F</v>
      </c>
      <c r="O212" s="3">
        <v>180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S</v>
      </c>
      <c r="U212" s="3">
        <v>185</v>
      </c>
      <c r="V212" s="3" t="str">
        <f>IFERROR(MID(VLOOKUP($B212,Seqs!$A:$B,2,0),W212,1),"")</f>
        <v>R</v>
      </c>
      <c r="W212" s="3">
        <v>220</v>
      </c>
      <c r="X212" s="3" t="str">
        <f>IFERROR(MID(VLOOKUP($B212,Seqs!$A:$B,2,0),Y212,1),"")</f>
        <v>P</v>
      </c>
      <c r="Y212" s="3">
        <v>221</v>
      </c>
      <c r="Z212" s="3" t="str">
        <f>IFERROR(MID(VLOOKUP($B212,Seqs!$A:$B,2,0),AA212,1),"")</f>
        <v>V</v>
      </c>
      <c r="AA212" s="3">
        <v>228</v>
      </c>
      <c r="AB212" s="3" t="str">
        <f>IFERROR(MID(VLOOKUP($B212,Seqs!$A:$B,2,0),AC212,1),"")</f>
        <v>T</v>
      </c>
      <c r="AC212" s="3">
        <v>229</v>
      </c>
      <c r="AD212" s="3" t="str">
        <f>IFERROR(MID(VLOOKUP($B212,Seqs!$A:$B,2,0),AE212,1),"")</f>
        <v>G</v>
      </c>
      <c r="AE212" s="3">
        <v>254</v>
      </c>
      <c r="AF212" s="3" t="str">
        <f>IFERROR(MID(VLOOKUP($B212,Seqs!$A:$B,2,0),AG212,1),"")</f>
        <v/>
      </c>
      <c r="AG212" s="3" t="s">
        <v>23</v>
      </c>
      <c r="AH212" s="3" t="str">
        <f>IFERROR(MID(VLOOKUP($B212,Seqs!$A:$B,2,0),AI212,1),"")</f>
        <v/>
      </c>
      <c r="AI212" s="3" t="s">
        <v>23</v>
      </c>
      <c r="AJ212" s="3" t="str">
        <f>IFERROR(MID(VLOOKUP($B212,Seqs!$A:$B,2,0),AK212,1),"")</f>
        <v>D</v>
      </c>
      <c r="AK212" s="3">
        <v>272</v>
      </c>
      <c r="AL212" s="3" t="str">
        <f>IFERROR(MID(VLOOKUP($B212,Seqs!$A:$B,2,0),AM212,1),"")</f>
        <v>S</v>
      </c>
      <c r="AM212" s="3">
        <v>303</v>
      </c>
      <c r="AN212" s="3" t="str">
        <f>IFERROR(MID(VLOOKUP($B212,Seqs!$A:$B,2,0),AO212,1),"")</f>
        <v>T</v>
      </c>
      <c r="AO212" s="3">
        <v>460</v>
      </c>
      <c r="AP212" s="3" t="str">
        <f>IFERROR(MID(VLOOKUP($B212,Seqs!$A:$B,2,0),AQ212,1),"")</f>
        <v/>
      </c>
      <c r="AQ212" s="3">
        <v>490</v>
      </c>
      <c r="AR212" s="3" t="str">
        <f>IFERROR(MID(VLOOKUP($B212,Seqs!$A:$B,2,0),AS212,1),"")</f>
        <v/>
      </c>
      <c r="AS212" s="3">
        <v>494</v>
      </c>
      <c r="AT212" s="3" t="str">
        <f>IFERROR(MID(VLOOKUP($B212,Seqs!$A:$B,2,0),AU212,1),"")</f>
        <v/>
      </c>
      <c r="AU212" s="3">
        <v>522</v>
      </c>
      <c r="AV212" s="3" t="str">
        <f>IFERROR(MID(VLOOKUP($B212,Seqs!$A:$B,2,0),AW212,1),"")</f>
        <v/>
      </c>
      <c r="AW212" s="3">
        <v>523</v>
      </c>
      <c r="AX212" s="3" t="str">
        <f>IFERROR(MID(VLOOKUP($B212,Seqs!$A:$B,2,0),AY212,1),"")</f>
        <v/>
      </c>
      <c r="AY212" s="3">
        <v>534</v>
      </c>
      <c r="AZ212" s="77" t="str">
        <f>VLOOKUP(B212,Classification!A:D,2,0)</f>
        <v>A</v>
      </c>
      <c r="BA212" s="94" t="str">
        <f>VLOOKUP(B212,Classification!A:D,4,0)</f>
        <v>Cannabinoid</v>
      </c>
      <c r="BB212" s="27" t="b">
        <f t="shared" ref="BB212:BB218" si="1847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:BC218" si="1848">_xlfn.AGGREGATE(9,6,CH212:CS212)-_xlfn.AGGREGATE(9,6,BV212:CG212)+12</f>
        <v>240</v>
      </c>
      <c r="BD212" s="2" t="s">
        <v>23</v>
      </c>
      <c r="BE212" s="3" t="s">
        <v>1287</v>
      </c>
      <c r="BF212" s="118">
        <v>2.95</v>
      </c>
      <c r="BG212" s="49" t="s">
        <v>1</v>
      </c>
      <c r="BH212" s="49" t="s">
        <v>1</v>
      </c>
      <c r="BJ212" s="70" t="s">
        <v>1283</v>
      </c>
      <c r="BK212" s="57" t="s">
        <v>1283</v>
      </c>
      <c r="BL212" s="57" t="s">
        <v>1283</v>
      </c>
      <c r="BM212" s="57" t="s">
        <v>1283</v>
      </c>
      <c r="BN212" s="57" t="s">
        <v>1283</v>
      </c>
      <c r="BO212" s="57" t="s">
        <v>1283</v>
      </c>
      <c r="BP212" s="57" t="s">
        <v>1283</v>
      </c>
      <c r="BQ212" s="57" t="s">
        <v>1283</v>
      </c>
      <c r="BR212" s="57" t="s">
        <v>1283</v>
      </c>
      <c r="BS212" s="57" t="s">
        <v>1283</v>
      </c>
      <c r="BT212" s="57" t="s">
        <v>1283</v>
      </c>
      <c r="BU212" s="57" t="s">
        <v>1283</v>
      </c>
      <c r="BV212" s="70">
        <f t="shared" ref="BV212:BV218" si="1849">E212</f>
        <v>112</v>
      </c>
      <c r="BW212" s="71" t="str">
        <f t="shared" ref="BW212:BW218" si="1850">I212</f>
        <v>-</v>
      </c>
      <c r="BX212" s="72">
        <f t="shared" ref="BX212:BX218" si="1851">M212</f>
        <v>153</v>
      </c>
      <c r="BY212" s="71" t="str">
        <f t="shared" ref="BY212:BY218" si="1852">Q212</f>
        <v>-</v>
      </c>
      <c r="BZ212" s="72">
        <f t="shared" ref="BZ212:BZ218" si="1853">U212</f>
        <v>185</v>
      </c>
      <c r="CA212" s="71">
        <f t="shared" ref="CA212:CA218" si="1854">Y212</f>
        <v>221</v>
      </c>
      <c r="CB212" s="72">
        <f t="shared" ref="CB212:CB218" si="1855">AC212</f>
        <v>229</v>
      </c>
      <c r="CC212" s="71" t="str">
        <f t="shared" ref="CC212:CC218" si="1856">AG212</f>
        <v>-</v>
      </c>
      <c r="CD212" s="72">
        <f t="shared" ref="CD212:CD218" si="1857">AK212</f>
        <v>272</v>
      </c>
      <c r="CE212" s="71">
        <f t="shared" ref="CE212:CE218" si="1858">AO212</f>
        <v>460</v>
      </c>
      <c r="CF212" s="72">
        <f t="shared" ref="CF212:CF218" si="1859">AS212</f>
        <v>494</v>
      </c>
      <c r="CG212" s="71">
        <f t="shared" ref="CG212:CG218" si="1860">AW212</f>
        <v>523</v>
      </c>
      <c r="CH212" s="70">
        <f t="shared" ref="CH212:CH218" si="1861">G212</f>
        <v>146</v>
      </c>
      <c r="CI212" s="71" t="str">
        <f t="shared" ref="CI212:CI218" si="1862">K212</f>
        <v>-</v>
      </c>
      <c r="CJ212" s="72">
        <f t="shared" ref="CJ212:CJ218" si="1863">O212</f>
        <v>180</v>
      </c>
      <c r="CK212" s="72" t="str">
        <f t="shared" ref="CK212:CK218" si="1864">S212</f>
        <v>-</v>
      </c>
      <c r="CL212" s="72">
        <f t="shared" ref="CL212:CL218" si="1865">W212</f>
        <v>220</v>
      </c>
      <c r="CM212" s="72">
        <f t="shared" ref="CM212:CM218" si="1866">AA212</f>
        <v>228</v>
      </c>
      <c r="CN212" s="72">
        <f t="shared" ref="CN212:CN218" si="1867">AE212</f>
        <v>254</v>
      </c>
      <c r="CO212" s="72" t="str">
        <f t="shared" ref="CO212:CO218" si="1868">AI212</f>
        <v>-</v>
      </c>
      <c r="CP212" s="72">
        <f t="shared" ref="CP212:CP218" si="1869">AM212</f>
        <v>303</v>
      </c>
      <c r="CQ212" s="72">
        <f t="shared" ref="CQ212:CQ218" si="1870">AQ212</f>
        <v>490</v>
      </c>
      <c r="CR212" s="72">
        <f t="shared" ref="CR212:CR218" si="1871">AU212</f>
        <v>522</v>
      </c>
      <c r="CS212" s="72">
        <f t="shared" ref="CS212:CS218" si="1872">AY212</f>
        <v>534</v>
      </c>
      <c r="CT212" s="23" t="e">
        <f t="shared" ref="CT212:CT218" si="1873">M212-K212</f>
        <v>#VALUE!</v>
      </c>
    </row>
    <row r="213" spans="1:1030" x14ac:dyDescent="0.2">
      <c r="A213" s="3" t="str">
        <f t="shared" si="1846"/>
        <v>cnr1_human_5XRA</v>
      </c>
      <c r="B213" s="3" t="s">
        <v>182</v>
      </c>
      <c r="C213" s="3" t="s">
        <v>1421</v>
      </c>
      <c r="D213" s="3" t="str">
        <f>IFERROR(MID(VLOOKUP($B213,Seqs!$A:$B,2,0),E213,1),"")</f>
        <v>N</v>
      </c>
      <c r="E213" s="3">
        <v>112</v>
      </c>
      <c r="F213" s="3" t="str">
        <f>IFERROR(MID(VLOOKUP($B213,Seqs!$A:$B,2,0),G213,1),"")</f>
        <v>S</v>
      </c>
      <c r="G213" s="3">
        <v>146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Y</v>
      </c>
      <c r="M213" s="3">
        <v>153</v>
      </c>
      <c r="N213" s="3" t="str">
        <f>IFERROR(MID(VLOOKUP($B213,Seqs!$A:$B,2,0),O213,1),"")</f>
        <v>F</v>
      </c>
      <c r="O213" s="3">
        <v>180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S</v>
      </c>
      <c r="U213" s="3">
        <v>185</v>
      </c>
      <c r="V213" s="3" t="str">
        <f>IFERROR(MID(VLOOKUP($B213,Seqs!$A:$B,2,0),W213,1),"")</f>
        <v>R</v>
      </c>
      <c r="W213" s="3">
        <v>220</v>
      </c>
      <c r="X213" s="3" t="str">
        <f>IFERROR(MID(VLOOKUP($B213,Seqs!$A:$B,2,0),Y213,1),"")</f>
        <v>P</v>
      </c>
      <c r="Y213" s="3">
        <v>221</v>
      </c>
      <c r="Z213" s="3" t="str">
        <f>IFERROR(MID(VLOOKUP($B213,Seqs!$A:$B,2,0),AA213,1),"")</f>
        <v>V</v>
      </c>
      <c r="AA213" s="3">
        <v>228</v>
      </c>
      <c r="AB213" s="3" t="str">
        <f>IFERROR(MID(VLOOKUP($B213,Seqs!$A:$B,2,0),AC213,1),"")</f>
        <v>T</v>
      </c>
      <c r="AC213" s="3">
        <v>229</v>
      </c>
      <c r="AD213" s="3" t="str">
        <f>IFERROR(MID(VLOOKUP($B213,Seqs!$A:$B,2,0),AE213,1),"")</f>
        <v>G</v>
      </c>
      <c r="AE213" s="3">
        <v>254</v>
      </c>
      <c r="AF213" s="3" t="str">
        <f>IFERROR(MID(VLOOKUP($B213,Seqs!$A:$B,2,0),AG213,1),"")</f>
        <v/>
      </c>
      <c r="AG213" s="3" t="s">
        <v>23</v>
      </c>
      <c r="AH213" s="3" t="str">
        <f>IFERROR(MID(VLOOKUP($B213,Seqs!$A:$B,2,0),AI213,1),"")</f>
        <v/>
      </c>
      <c r="AI213" s="3" t="s">
        <v>23</v>
      </c>
      <c r="AJ213" s="3" t="str">
        <f>IFERROR(MID(VLOOKUP($B213,Seqs!$A:$B,2,0),AK213,1),"")</f>
        <v>D</v>
      </c>
      <c r="AK213" s="3">
        <v>272</v>
      </c>
      <c r="AL213" s="3" t="str">
        <f>IFERROR(MID(VLOOKUP($B213,Seqs!$A:$B,2,0),AM213,1),"")</f>
        <v>A</v>
      </c>
      <c r="AM213" s="3">
        <v>305</v>
      </c>
      <c r="AN213" s="3" t="str">
        <f>IFERROR(MID(VLOOKUP($B213,Seqs!$A:$B,2,0),AO213,1),"")</f>
        <v>D</v>
      </c>
      <c r="AO213" s="3">
        <v>338</v>
      </c>
      <c r="AP213" s="3" t="str">
        <f>IFERROR(MID(VLOOKUP($B213,Seqs!$A:$B,2,0),AQ213,1),"")</f>
        <v>G</v>
      </c>
      <c r="AQ213" s="3">
        <v>369</v>
      </c>
      <c r="AR213" s="3" t="str">
        <f>IFERROR(MID(VLOOKUP($B213,Seqs!$A:$B,2,0),AS213,1),"")</f>
        <v>N</v>
      </c>
      <c r="AS213" s="3">
        <v>372</v>
      </c>
      <c r="AT213" s="3" t="str">
        <f>IFERROR(MID(VLOOKUP($B213,Seqs!$A:$B,2,0),AU213,1),"")</f>
        <v>Y</v>
      </c>
      <c r="AU213" s="3">
        <v>397</v>
      </c>
      <c r="AV213" s="3" t="str">
        <f>IFERROR(MID(VLOOKUP($B213,Seqs!$A:$B,2,0),AW213,1),"")</f>
        <v>S</v>
      </c>
      <c r="AW213" s="3">
        <v>401</v>
      </c>
      <c r="AX213" s="3" t="str">
        <f>IFERROR(MID(VLOOKUP($B213,Seqs!$A:$B,2,0),AY213,1),"")</f>
        <v>F</v>
      </c>
      <c r="AY213" s="3">
        <v>412</v>
      </c>
      <c r="AZ213" s="77" t="str">
        <f>VLOOKUP(B213,Classification!A:D,2,0)</f>
        <v>A</v>
      </c>
      <c r="BA213" s="94" t="str">
        <f>VLOOKUP(B213,Classification!A:D,4,0)</f>
        <v>Cannabinoid</v>
      </c>
      <c r="BB213" s="27" t="b">
        <f t="shared" si="1847"/>
        <v>1</v>
      </c>
      <c r="BC213" s="23">
        <f t="shared" si="1848"/>
        <v>240</v>
      </c>
      <c r="BD213" s="2" t="s">
        <v>23</v>
      </c>
      <c r="BE213" s="3" t="s">
        <v>1287</v>
      </c>
      <c r="BF213" s="118">
        <v>2.8</v>
      </c>
      <c r="BG213" s="49" t="s">
        <v>1</v>
      </c>
      <c r="BH213" s="49" t="s">
        <v>1</v>
      </c>
      <c r="BJ213" s="70" t="s">
        <v>1283</v>
      </c>
      <c r="BK213" s="57" t="s">
        <v>1283</v>
      </c>
      <c r="BL213" s="57" t="s">
        <v>1283</v>
      </c>
      <c r="BM213" s="57" t="s">
        <v>1283</v>
      </c>
      <c r="BN213" s="57" t="s">
        <v>1283</v>
      </c>
      <c r="BO213" s="57" t="s">
        <v>1283</v>
      </c>
      <c r="BP213" s="57" t="s">
        <v>1283</v>
      </c>
      <c r="BQ213" s="57" t="s">
        <v>1283</v>
      </c>
      <c r="BR213" s="57" t="s">
        <v>1283</v>
      </c>
      <c r="BS213" s="57" t="s">
        <v>1283</v>
      </c>
      <c r="BT213" s="57" t="s">
        <v>1283</v>
      </c>
      <c r="BU213" s="57" t="s">
        <v>1283</v>
      </c>
      <c r="BV213" s="70">
        <f t="shared" si="1849"/>
        <v>112</v>
      </c>
      <c r="BW213" s="71" t="str">
        <f t="shared" si="1850"/>
        <v>-</v>
      </c>
      <c r="BX213" s="72">
        <f t="shared" si="1851"/>
        <v>153</v>
      </c>
      <c r="BY213" s="71" t="str">
        <f t="shared" si="1852"/>
        <v>-</v>
      </c>
      <c r="BZ213" s="72">
        <f t="shared" si="1853"/>
        <v>185</v>
      </c>
      <c r="CA213" s="71">
        <f t="shared" si="1854"/>
        <v>221</v>
      </c>
      <c r="CB213" s="72">
        <f t="shared" si="1855"/>
        <v>229</v>
      </c>
      <c r="CC213" s="71" t="str">
        <f t="shared" si="1856"/>
        <v>-</v>
      </c>
      <c r="CD213" s="72">
        <f t="shared" si="1857"/>
        <v>272</v>
      </c>
      <c r="CE213" s="71">
        <f t="shared" si="1858"/>
        <v>338</v>
      </c>
      <c r="CF213" s="72">
        <f t="shared" si="1859"/>
        <v>372</v>
      </c>
      <c r="CG213" s="71">
        <f t="shared" si="1860"/>
        <v>401</v>
      </c>
      <c r="CH213" s="70">
        <f t="shared" si="1861"/>
        <v>146</v>
      </c>
      <c r="CI213" s="71" t="str">
        <f t="shared" si="1862"/>
        <v>-</v>
      </c>
      <c r="CJ213" s="72">
        <f t="shared" si="1863"/>
        <v>180</v>
      </c>
      <c r="CK213" s="72" t="str">
        <f t="shared" si="1864"/>
        <v>-</v>
      </c>
      <c r="CL213" s="72">
        <f t="shared" si="1865"/>
        <v>220</v>
      </c>
      <c r="CM213" s="72">
        <f t="shared" si="1866"/>
        <v>228</v>
      </c>
      <c r="CN213" s="72">
        <f t="shared" si="1867"/>
        <v>254</v>
      </c>
      <c r="CO213" s="72" t="str">
        <f t="shared" si="1868"/>
        <v>-</v>
      </c>
      <c r="CP213" s="72">
        <f t="shared" si="1869"/>
        <v>305</v>
      </c>
      <c r="CQ213" s="72">
        <f t="shared" si="1870"/>
        <v>369</v>
      </c>
      <c r="CR213" s="72">
        <f t="shared" si="1871"/>
        <v>397</v>
      </c>
      <c r="CS213" s="72">
        <f t="shared" si="1872"/>
        <v>412</v>
      </c>
      <c r="CT213" s="23" t="e">
        <f t="shared" si="1873"/>
        <v>#VALUE!</v>
      </c>
    </row>
    <row r="214" spans="1:1030" x14ac:dyDescent="0.2">
      <c r="A214" s="3" t="str">
        <f t="shared" si="1846"/>
        <v>cnr1_human_6N4B</v>
      </c>
      <c r="B214" s="3" t="s">
        <v>182</v>
      </c>
      <c r="C214" s="3" t="s">
        <v>1552</v>
      </c>
      <c r="D214" s="3" t="str">
        <f>IFERROR(MID(VLOOKUP($B214,Seqs!$A:$B,2,0),E214,1),"")</f>
        <v>N</v>
      </c>
      <c r="E214" s="3">
        <v>112</v>
      </c>
      <c r="F214" s="3" t="str">
        <f>IFERROR(MID(VLOOKUP($B214,Seqs!$A:$B,2,0),G214,1),"")</f>
        <v>H</v>
      </c>
      <c r="G214" s="3">
        <v>143</v>
      </c>
      <c r="H214" s="3" t="str">
        <f>IFERROR(MID(VLOOKUP($B214,Seqs!$A:$B,2,0),I214,1),"")</f>
        <v>R</v>
      </c>
      <c r="I214" s="23">
        <v>145</v>
      </c>
      <c r="J214" s="3" t="str">
        <f>IFERROR(MID(VLOOKUP($B214,Seqs!$A:$B,2,0),K214,1),"")</f>
        <v>R</v>
      </c>
      <c r="K214" s="23">
        <v>148</v>
      </c>
      <c r="L214" s="3" t="str">
        <f>IFERROR(MID(VLOOKUP($B214,Seqs!$A:$B,2,0),M214,1),"")</f>
        <v>Y</v>
      </c>
      <c r="M214" s="3">
        <v>153</v>
      </c>
      <c r="N214" s="3" t="str">
        <f>IFERROR(MID(VLOOKUP($B214,Seqs!$A:$B,2,0),O214,1),"")</f>
        <v>H</v>
      </c>
      <c r="O214" s="3">
        <v>178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S</v>
      </c>
      <c r="U214" s="3">
        <v>185</v>
      </c>
      <c r="V214" s="3" t="str">
        <f>IFERROR(MID(VLOOKUP($B214,Seqs!$A:$B,2,0),W214,1),"")</f>
        <v>R</v>
      </c>
      <c r="W214" s="3">
        <v>220</v>
      </c>
      <c r="X214" s="3" t="str">
        <f>IFERROR(MID(VLOOKUP($B214,Seqs!$A:$B,2,0),Y214,1),"")</f>
        <v>P</v>
      </c>
      <c r="Y214" s="3">
        <v>221</v>
      </c>
      <c r="Z214" s="3" t="str">
        <f>IFERROR(MID(VLOOKUP($B214,Seqs!$A:$B,2,0),AA214,1),"")</f>
        <v>V</v>
      </c>
      <c r="AA214" s="3">
        <v>228</v>
      </c>
      <c r="AB214" s="3" t="str">
        <f>IFERROR(MID(VLOOKUP($B214,Seqs!$A:$B,2,0),AC214,1),"")</f>
        <v>T</v>
      </c>
      <c r="AC214" s="3">
        <v>229</v>
      </c>
      <c r="AD214" s="3" t="str">
        <f>IFERROR(MID(VLOOKUP($B214,Seqs!$A:$B,2,0),AE214,1),"")</f>
        <v>G</v>
      </c>
      <c r="AE214" s="3">
        <v>254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D</v>
      </c>
      <c r="AK214" s="3">
        <v>272</v>
      </c>
      <c r="AL214" s="3" t="str">
        <f>IFERROR(MID(VLOOKUP($B214,Seqs!$A:$B,2,0),AM214,1),"")</f>
        <v>R</v>
      </c>
      <c r="AM214" s="3">
        <v>311</v>
      </c>
      <c r="AN214" s="3" t="str">
        <f>IFERROR(MID(VLOOKUP($B214,Seqs!$A:$B,2,0),AO214,1),"")</f>
        <v>A</v>
      </c>
      <c r="AO214" s="3">
        <v>335</v>
      </c>
      <c r="AP214" s="3" t="str">
        <f>IFERROR(MID(VLOOKUP($B214,Seqs!$A:$B,2,0),AQ214,1),"")</f>
        <v>M</v>
      </c>
      <c r="AQ214" s="3">
        <v>363</v>
      </c>
      <c r="AR214" s="3" t="str">
        <f>IFERROR(MID(VLOOKUP($B214,Seqs!$A:$B,2,0),AS214,1),"")</f>
        <v>L</v>
      </c>
      <c r="AS214" s="3">
        <v>374</v>
      </c>
      <c r="AT214" s="3" t="str">
        <f>IFERROR(MID(VLOOKUP($B214,Seqs!$A:$B,2,0),AU214,1),"")</f>
        <v>R</v>
      </c>
      <c r="AU214" s="3">
        <v>400</v>
      </c>
      <c r="AV214" s="3" t="str">
        <f>IFERROR(MID(VLOOKUP($B214,Seqs!$A:$B,2,0),AW214,1),"")</f>
        <v>S</v>
      </c>
      <c r="AW214" s="3">
        <v>401</v>
      </c>
      <c r="AX214" s="3" t="str">
        <f>IFERROR(MID(VLOOKUP($B214,Seqs!$A:$B,2,0),AY214,1),"")</f>
        <v>M</v>
      </c>
      <c r="AY214" s="3">
        <v>411</v>
      </c>
      <c r="AZ214" s="77" t="str">
        <f>VLOOKUP(B214,Classification!A:D,2,0)</f>
        <v>A</v>
      </c>
      <c r="BA214" s="94" t="str">
        <f>VLOOKUP(B214,Classification!A:D,4,0)</f>
        <v>Cannabinoid</v>
      </c>
      <c r="BB214" s="27" t="b">
        <f t="shared" si="1847"/>
        <v>1</v>
      </c>
      <c r="BC214" s="23">
        <f t="shared" si="1848"/>
        <v>241</v>
      </c>
      <c r="BD214" s="2" t="s">
        <v>1371</v>
      </c>
      <c r="BE214" s="3" t="s">
        <v>1287</v>
      </c>
      <c r="BF214" s="118">
        <v>3</v>
      </c>
      <c r="BG214" s="49" t="s">
        <v>1418</v>
      </c>
      <c r="BH214" s="49" t="s">
        <v>1418</v>
      </c>
      <c r="BJ214" s="70" t="s">
        <v>1283</v>
      </c>
      <c r="BK214" s="57" t="s">
        <v>1283</v>
      </c>
      <c r="BL214" s="57" t="s">
        <v>1283</v>
      </c>
      <c r="BM214" s="57" t="s">
        <v>1283</v>
      </c>
      <c r="BN214" s="57" t="s">
        <v>1283</v>
      </c>
      <c r="BO214" s="57" t="s">
        <v>1283</v>
      </c>
      <c r="BP214" s="57" t="s">
        <v>1283</v>
      </c>
      <c r="BQ214" s="57" t="s">
        <v>1283</v>
      </c>
      <c r="BR214" s="57" t="s">
        <v>1283</v>
      </c>
      <c r="BS214" s="57" t="s">
        <v>1283</v>
      </c>
      <c r="BT214" s="57" t="s">
        <v>1283</v>
      </c>
      <c r="BU214" s="57" t="s">
        <v>1283</v>
      </c>
      <c r="BV214" s="70">
        <f t="shared" si="1849"/>
        <v>112</v>
      </c>
      <c r="BW214" s="71">
        <f t="shared" si="1850"/>
        <v>145</v>
      </c>
      <c r="BX214" s="72">
        <f t="shared" si="1851"/>
        <v>153</v>
      </c>
      <c r="BY214" s="71" t="str">
        <f t="shared" si="1852"/>
        <v>-</v>
      </c>
      <c r="BZ214" s="72">
        <f t="shared" si="1853"/>
        <v>185</v>
      </c>
      <c r="CA214" s="71">
        <f t="shared" si="1854"/>
        <v>221</v>
      </c>
      <c r="CB214" s="72">
        <f t="shared" si="1855"/>
        <v>229</v>
      </c>
      <c r="CC214" s="71" t="str">
        <f t="shared" si="1856"/>
        <v>-</v>
      </c>
      <c r="CD214" s="72">
        <f t="shared" si="1857"/>
        <v>272</v>
      </c>
      <c r="CE214" s="71">
        <f t="shared" si="1858"/>
        <v>335</v>
      </c>
      <c r="CF214" s="72">
        <f t="shared" si="1859"/>
        <v>374</v>
      </c>
      <c r="CG214" s="71">
        <f t="shared" si="1860"/>
        <v>401</v>
      </c>
      <c r="CH214" s="70">
        <f t="shared" si="1861"/>
        <v>143</v>
      </c>
      <c r="CI214" s="71">
        <f t="shared" si="1862"/>
        <v>148</v>
      </c>
      <c r="CJ214" s="72">
        <f t="shared" si="1863"/>
        <v>178</v>
      </c>
      <c r="CK214" s="72" t="str">
        <f t="shared" si="1864"/>
        <v>-</v>
      </c>
      <c r="CL214" s="72">
        <f t="shared" si="1865"/>
        <v>220</v>
      </c>
      <c r="CM214" s="72">
        <f t="shared" si="1866"/>
        <v>228</v>
      </c>
      <c r="CN214" s="72">
        <f t="shared" si="1867"/>
        <v>254</v>
      </c>
      <c r="CO214" s="72" t="str">
        <f t="shared" si="1868"/>
        <v>-</v>
      </c>
      <c r="CP214" s="72">
        <f t="shared" si="1869"/>
        <v>311</v>
      </c>
      <c r="CQ214" s="72">
        <f t="shared" si="1870"/>
        <v>363</v>
      </c>
      <c r="CR214" s="72">
        <f t="shared" si="1871"/>
        <v>400</v>
      </c>
      <c r="CS214" s="72">
        <f t="shared" si="1872"/>
        <v>411</v>
      </c>
      <c r="CT214" s="23">
        <f t="shared" si="1873"/>
        <v>5</v>
      </c>
    </row>
    <row r="215" spans="1:1030" x14ac:dyDescent="0.2">
      <c r="A215" s="3" t="str">
        <f t="shared" si="1846"/>
        <v>cnr1_human_6KQI</v>
      </c>
      <c r="B215" s="3" t="s">
        <v>182</v>
      </c>
      <c r="C215" s="3" t="s">
        <v>1589</v>
      </c>
      <c r="D215" s="3" t="str">
        <f>IFERROR(MID(VLOOKUP($B215,Seqs!$A:$B,2,0),E215,1),"")</f>
        <v>N</v>
      </c>
      <c r="E215" s="3">
        <v>112</v>
      </c>
      <c r="F215" s="3" t="str">
        <f>IFERROR(MID(VLOOKUP($B215,Seqs!$A:$B,2,0),G215,1),"")</f>
        <v>S</v>
      </c>
      <c r="G215" s="3">
        <v>144</v>
      </c>
      <c r="H215" s="3" t="str">
        <f>IFERROR(MID(VLOOKUP($B215,Seqs!$A:$B,2,0),I215,1),"")</f>
        <v>R</v>
      </c>
      <c r="I215" s="23">
        <v>145</v>
      </c>
      <c r="J215" s="3" t="str">
        <f>IFERROR(MID(VLOOKUP($B215,Seqs!$A:$B,2,0),K215,1),"")</f>
        <v>R</v>
      </c>
      <c r="K215" s="23">
        <v>148</v>
      </c>
      <c r="L215" s="3" t="str">
        <f>IFERROR(MID(VLOOKUP($B215,Seqs!$A:$B,2,0),M215,1),"")</f>
        <v>Y</v>
      </c>
      <c r="M215" s="3">
        <v>153</v>
      </c>
      <c r="N215" s="3" t="str">
        <f>IFERROR(MID(VLOOKUP($B215,Seqs!$A:$B,2,0),O215,1),"")</f>
        <v>V</v>
      </c>
      <c r="O215" s="3">
        <v>179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S</v>
      </c>
      <c r="U215" s="3">
        <v>185</v>
      </c>
      <c r="V215" s="3" t="str">
        <f>IFERROR(MID(VLOOKUP($B215,Seqs!$A:$B,2,0),W215,1),"")</f>
        <v>R</v>
      </c>
      <c r="W215" s="3">
        <v>220</v>
      </c>
      <c r="X215" s="3" t="str">
        <f>IFERROR(MID(VLOOKUP($B215,Seqs!$A:$B,2,0),Y215,1),"")</f>
        <v>P</v>
      </c>
      <c r="Y215" s="3">
        <v>221</v>
      </c>
      <c r="Z215" s="3" t="str">
        <f>IFERROR(MID(VLOOKUP($B215,Seqs!$A:$B,2,0),AA215,1),"")</f>
        <v>V</v>
      </c>
      <c r="AA215" s="3">
        <v>228</v>
      </c>
      <c r="AC215" s="3">
        <v>229</v>
      </c>
      <c r="AD215" s="3" t="str">
        <f>IFERROR(MID(VLOOKUP($B215,Seqs!$A:$B,2,0),AE215,1),"")</f>
        <v>L</v>
      </c>
      <c r="AE215" s="3">
        <v>253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D</v>
      </c>
      <c r="AK215" s="3">
        <v>272</v>
      </c>
      <c r="AL215" s="3" t="str">
        <f>IFERROR(MID(VLOOKUP($B215,Seqs!$A:$B,2,0),AM215,1),"")</f>
        <v>A</v>
      </c>
      <c r="AM215" s="3">
        <v>301</v>
      </c>
      <c r="AN215" s="3" t="str">
        <f>IFERROR(MID(VLOOKUP($B215,Seqs!$A:$B,2,0),AO215,1),"")</f>
        <v>D</v>
      </c>
      <c r="AO215" s="3">
        <v>333</v>
      </c>
      <c r="AP215" s="3" t="str">
        <f>IFERROR(MID(VLOOKUP($B215,Seqs!$A:$B,2,0),AQ215,1),"")</f>
        <v>F</v>
      </c>
      <c r="AQ215" s="3">
        <v>368</v>
      </c>
      <c r="AR215" s="3" t="str">
        <f>IFERROR(MID(VLOOKUP($B215,Seqs!$A:$B,2,0),AS215,1),"")</f>
        <v>N</v>
      </c>
      <c r="AS215" s="3">
        <v>372</v>
      </c>
      <c r="AT215" s="3" t="str">
        <f>IFERROR(MID(VLOOKUP($B215,Seqs!$A:$B,2,0),AU215,1),"")</f>
        <v>R</v>
      </c>
      <c r="AU215" s="3">
        <v>400</v>
      </c>
      <c r="AV215" s="3" t="str">
        <f>IFERROR(MID(VLOOKUP($B215,Seqs!$A:$B,2,0),AW215,1),"")</f>
        <v>S</v>
      </c>
      <c r="AW215" s="3">
        <v>401</v>
      </c>
      <c r="AX215" s="3" t="str">
        <f>IFERROR(MID(VLOOKUP($B215,Seqs!$A:$B,2,0),AY215,1),"")</f>
        <v>F</v>
      </c>
      <c r="AY215" s="3">
        <v>412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si="1847"/>
        <v>1</v>
      </c>
      <c r="BC215" s="23">
        <f t="shared" si="1848"/>
        <v>242</v>
      </c>
      <c r="BD215" s="2" t="s">
        <v>23</v>
      </c>
      <c r="BE215" s="3" t="s">
        <v>1370</v>
      </c>
      <c r="BF215" s="118">
        <v>3.25</v>
      </c>
      <c r="BG215" s="49" t="s">
        <v>1</v>
      </c>
      <c r="BH215" s="49" t="s">
        <v>1</v>
      </c>
      <c r="BJ215" s="70" t="s">
        <v>1283</v>
      </c>
      <c r="BK215" s="57" t="s">
        <v>1283</v>
      </c>
      <c r="BL215" s="57" t="s">
        <v>1283</v>
      </c>
      <c r="BM215" s="57" t="s">
        <v>1283</v>
      </c>
      <c r="BN215" s="57" t="s">
        <v>1283</v>
      </c>
      <c r="BO215" s="57" t="s">
        <v>1283</v>
      </c>
      <c r="BP215" s="57" t="s">
        <v>1283</v>
      </c>
      <c r="BQ215" s="57" t="s">
        <v>1283</v>
      </c>
      <c r="BR215" s="57" t="s">
        <v>1283</v>
      </c>
      <c r="BS215" s="57" t="s">
        <v>1283</v>
      </c>
      <c r="BT215" s="57" t="s">
        <v>1283</v>
      </c>
      <c r="BU215" s="57" t="s">
        <v>1283</v>
      </c>
      <c r="BV215" s="70">
        <f t="shared" si="1849"/>
        <v>112</v>
      </c>
      <c r="BW215" s="71">
        <f t="shared" si="1850"/>
        <v>145</v>
      </c>
      <c r="BX215" s="72">
        <f t="shared" si="1851"/>
        <v>153</v>
      </c>
      <c r="BY215" s="71" t="str">
        <f t="shared" si="1852"/>
        <v>-</v>
      </c>
      <c r="BZ215" s="72">
        <f t="shared" si="1853"/>
        <v>185</v>
      </c>
      <c r="CA215" s="71">
        <f t="shared" si="1854"/>
        <v>221</v>
      </c>
      <c r="CB215" s="72">
        <f t="shared" si="1855"/>
        <v>229</v>
      </c>
      <c r="CC215" s="71" t="str">
        <f t="shared" si="1856"/>
        <v>-</v>
      </c>
      <c r="CD215" s="72">
        <f t="shared" si="1857"/>
        <v>272</v>
      </c>
      <c r="CE215" s="71">
        <f t="shared" si="1858"/>
        <v>333</v>
      </c>
      <c r="CF215" s="72">
        <f t="shared" si="1859"/>
        <v>372</v>
      </c>
      <c r="CG215" s="71">
        <f t="shared" si="1860"/>
        <v>401</v>
      </c>
      <c r="CH215" s="70">
        <f t="shared" si="1861"/>
        <v>144</v>
      </c>
      <c r="CI215" s="71">
        <f t="shared" si="1862"/>
        <v>148</v>
      </c>
      <c r="CJ215" s="72">
        <f t="shared" si="1863"/>
        <v>179</v>
      </c>
      <c r="CK215" s="72" t="str">
        <f t="shared" si="1864"/>
        <v>-</v>
      </c>
      <c r="CL215" s="72">
        <f t="shared" si="1865"/>
        <v>220</v>
      </c>
      <c r="CM215" s="72">
        <f t="shared" si="1866"/>
        <v>228</v>
      </c>
      <c r="CN215" s="72">
        <f t="shared" si="1867"/>
        <v>253</v>
      </c>
      <c r="CO215" s="72" t="str">
        <f t="shared" si="1868"/>
        <v>-</v>
      </c>
      <c r="CP215" s="72">
        <f t="shared" si="1869"/>
        <v>301</v>
      </c>
      <c r="CQ215" s="72">
        <f t="shared" si="1870"/>
        <v>368</v>
      </c>
      <c r="CR215" s="72">
        <f t="shared" si="1871"/>
        <v>400</v>
      </c>
      <c r="CS215" s="72">
        <f t="shared" si="1872"/>
        <v>412</v>
      </c>
      <c r="CT215" s="23">
        <f t="shared" si="1873"/>
        <v>5</v>
      </c>
    </row>
    <row r="216" spans="1:1030" x14ac:dyDescent="0.2">
      <c r="A216" s="3" t="str">
        <f t="shared" ref="A216" si="1874">CONCATENATE(B216,"_",C216)</f>
        <v>cnr1_human_6KPG</v>
      </c>
      <c r="B216" s="3" t="s">
        <v>182</v>
      </c>
      <c r="C216" s="3" t="s">
        <v>1662</v>
      </c>
      <c r="D216" s="3" t="str">
        <f>IFERROR(MID(VLOOKUP($B216,Seqs!$A:$B,2,0),E216,1),"")</f>
        <v>Q</v>
      </c>
      <c r="E216" s="3">
        <v>115</v>
      </c>
      <c r="F216" s="3" t="str">
        <f>IFERROR(MID(VLOOKUP($B216,Seqs!$A:$B,2,0),G216,1),"")</f>
        <v>S</v>
      </c>
      <c r="G216" s="3">
        <v>144</v>
      </c>
      <c r="H216" s="3" t="str">
        <f>IFERROR(MID(VLOOKUP($B216,Seqs!$A:$B,2,0),I216,1),"")</f>
        <v>R</v>
      </c>
      <c r="I216" s="23">
        <v>145</v>
      </c>
      <c r="J216" s="3" t="str">
        <f>IFERROR(MID(VLOOKUP($B216,Seqs!$A:$B,2,0),K216,1),"")</f>
        <v>R</v>
      </c>
      <c r="K216" s="23">
        <v>148</v>
      </c>
      <c r="L216" s="3" t="str">
        <f>IFERROR(MID(VLOOKUP($B216,Seqs!$A:$B,2,0),M216,1),"")</f>
        <v>R</v>
      </c>
      <c r="M216" s="3">
        <v>150</v>
      </c>
      <c r="N216" s="3" t="str">
        <f>IFERROR(MID(VLOOKUP($B216,Seqs!$A:$B,2,0),O216,1),"")</f>
        <v>H</v>
      </c>
      <c r="O216" s="3">
        <v>178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F</v>
      </c>
      <c r="U216" s="3">
        <v>189</v>
      </c>
      <c r="V216" s="3" t="str">
        <f>IFERROR(MID(VLOOKUP($B216,Seqs!$A:$B,2,0),W216,1),"")</f>
        <v>R</v>
      </c>
      <c r="W216" s="3">
        <v>220</v>
      </c>
      <c r="X216" s="3" t="str">
        <f>IFERROR(MID(VLOOKUP($B216,Seqs!$A:$B,2,0),Y216,1),"")</f>
        <v>P</v>
      </c>
      <c r="Y216" s="3">
        <v>221</v>
      </c>
      <c r="Z216" s="3" t="str">
        <f>IFERROR(MID(VLOOKUP($B216,Seqs!$A:$B,2,0),AA216,1),"")</f>
        <v>V</v>
      </c>
      <c r="AA216" s="3">
        <v>228</v>
      </c>
      <c r="AC216" s="3">
        <v>229</v>
      </c>
      <c r="AD216" s="3" t="str">
        <f>IFERROR(MID(VLOOKUP($B216,Seqs!$A:$B,2,0),AE216,1),"")</f>
        <v>L</v>
      </c>
      <c r="AE216" s="3">
        <v>253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Y</v>
      </c>
      <c r="AK216" s="3">
        <v>275</v>
      </c>
      <c r="AL216" s="3" t="str">
        <f>IFERROR(MID(VLOOKUP($B216,Seqs!$A:$B,2,0),AM216,1),"")</f>
        <v>G</v>
      </c>
      <c r="AM216" s="3">
        <v>312</v>
      </c>
      <c r="AN216" s="3" t="str">
        <f>IFERROR(MID(VLOOKUP($B216,Seqs!$A:$B,2,0),AO216,1),"")</f>
        <v>M</v>
      </c>
      <c r="AO216" s="3">
        <v>337</v>
      </c>
      <c r="AP216" s="3" t="str">
        <f>IFERROR(MID(VLOOKUP($B216,Seqs!$A:$B,2,0),AQ216,1),"")</f>
        <v>Y</v>
      </c>
      <c r="AQ216" s="3">
        <v>365</v>
      </c>
      <c r="AR216" s="3" t="str">
        <f>IFERROR(MID(VLOOKUP($B216,Seqs!$A:$B,2,0),AS216,1),"")</f>
        <v>N</v>
      </c>
      <c r="AS216" s="3">
        <v>372</v>
      </c>
      <c r="AT216" s="3" t="str">
        <f>IFERROR(MID(VLOOKUP($B216,Seqs!$A:$B,2,0),AU216,1),"")</f>
        <v>R</v>
      </c>
      <c r="AU216" s="3">
        <v>400</v>
      </c>
      <c r="AV216" s="3" t="str">
        <f>IFERROR(MID(VLOOKUP($B216,Seqs!$A:$B,2,0),AW216,1),"")</f>
        <v>S</v>
      </c>
      <c r="AW216" s="3">
        <v>401</v>
      </c>
      <c r="AX216" s="3" t="str">
        <f>IFERROR(MID(VLOOKUP($B216,Seqs!$A:$B,2,0),AY216,1),"")</f>
        <v>M</v>
      </c>
      <c r="AY216" s="3">
        <v>411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ref="BB216" si="1875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876">_xlfn.AGGREGATE(9,6,CH216:CS216)-_xlfn.AGGREGATE(9,6,BV216:CG216)+12</f>
        <v>237</v>
      </c>
      <c r="BD216" s="2" t="s">
        <v>23</v>
      </c>
      <c r="BE216" s="3" t="s">
        <v>1287</v>
      </c>
      <c r="BF216" s="118">
        <v>3</v>
      </c>
      <c r="BG216" s="49" t="s">
        <v>1418</v>
      </c>
      <c r="BH216" s="49" t="s">
        <v>1418</v>
      </c>
      <c r="BJ216" s="70" t="s">
        <v>1283</v>
      </c>
      <c r="BK216" s="57" t="s">
        <v>1283</v>
      </c>
      <c r="BL216" s="57" t="s">
        <v>1283</v>
      </c>
      <c r="BM216" s="57" t="s">
        <v>1283</v>
      </c>
      <c r="BN216" s="57" t="s">
        <v>1283</v>
      </c>
      <c r="BO216" s="57" t="s">
        <v>1283</v>
      </c>
      <c r="BP216" s="57" t="s">
        <v>1283</v>
      </c>
      <c r="BQ216" s="57" t="s">
        <v>1283</v>
      </c>
      <c r="BR216" s="57" t="s">
        <v>1283</v>
      </c>
      <c r="BS216" s="57" t="s">
        <v>1283</v>
      </c>
      <c r="BT216" s="57" t="s">
        <v>1283</v>
      </c>
      <c r="BU216" s="57" t="s">
        <v>1283</v>
      </c>
      <c r="BV216" s="70">
        <f t="shared" ref="BV216" si="1877">E216</f>
        <v>115</v>
      </c>
      <c r="BW216" s="71">
        <f t="shared" ref="BW216" si="1878">I216</f>
        <v>145</v>
      </c>
      <c r="BX216" s="72">
        <f t="shared" ref="BX216" si="1879">M216</f>
        <v>150</v>
      </c>
      <c r="BY216" s="71" t="str">
        <f t="shared" ref="BY216" si="1880">Q216</f>
        <v>-</v>
      </c>
      <c r="BZ216" s="72">
        <f t="shared" ref="BZ216" si="1881">U216</f>
        <v>189</v>
      </c>
      <c r="CA216" s="71">
        <f t="shared" ref="CA216" si="1882">Y216</f>
        <v>221</v>
      </c>
      <c r="CB216" s="72">
        <f t="shared" ref="CB216" si="1883">AC216</f>
        <v>229</v>
      </c>
      <c r="CC216" s="71" t="str">
        <f t="shared" ref="CC216" si="1884">AG216</f>
        <v>-</v>
      </c>
      <c r="CD216" s="72">
        <f t="shared" ref="CD216" si="1885">AK216</f>
        <v>275</v>
      </c>
      <c r="CE216" s="71">
        <f t="shared" ref="CE216" si="1886">AO216</f>
        <v>337</v>
      </c>
      <c r="CF216" s="72">
        <f t="shared" ref="CF216" si="1887">AS216</f>
        <v>372</v>
      </c>
      <c r="CG216" s="71">
        <f t="shared" ref="CG216" si="1888">AW216</f>
        <v>401</v>
      </c>
      <c r="CH216" s="70">
        <f t="shared" ref="CH216" si="1889">G216</f>
        <v>144</v>
      </c>
      <c r="CI216" s="71">
        <f t="shared" ref="CI216" si="1890">K216</f>
        <v>148</v>
      </c>
      <c r="CJ216" s="72">
        <f t="shared" ref="CJ216" si="1891">O216</f>
        <v>178</v>
      </c>
      <c r="CK216" s="72" t="str">
        <f t="shared" ref="CK216" si="1892">S216</f>
        <v>-</v>
      </c>
      <c r="CL216" s="72">
        <f t="shared" ref="CL216" si="1893">W216</f>
        <v>220</v>
      </c>
      <c r="CM216" s="72">
        <f t="shared" ref="CM216" si="1894">AA216</f>
        <v>228</v>
      </c>
      <c r="CN216" s="72">
        <f t="shared" ref="CN216" si="1895">AE216</f>
        <v>253</v>
      </c>
      <c r="CO216" s="72" t="str">
        <f t="shared" ref="CO216" si="1896">AI216</f>
        <v>-</v>
      </c>
      <c r="CP216" s="72">
        <f t="shared" ref="CP216" si="1897">AM216</f>
        <v>312</v>
      </c>
      <c r="CQ216" s="72">
        <f t="shared" ref="CQ216" si="1898">AQ216</f>
        <v>365</v>
      </c>
      <c r="CR216" s="72">
        <f t="shared" ref="CR216" si="1899">AU216</f>
        <v>400</v>
      </c>
      <c r="CS216" s="72">
        <f t="shared" ref="CS216" si="1900">AY216</f>
        <v>411</v>
      </c>
      <c r="CT216" s="23">
        <f t="shared" ref="CT216" si="1901">M216-K216</f>
        <v>2</v>
      </c>
    </row>
    <row r="217" spans="1:1030" x14ac:dyDescent="0.2">
      <c r="A217" s="3" t="str">
        <f t="shared" si="1846"/>
        <v>cnr2_human__wt</v>
      </c>
      <c r="B217" s="3" t="s">
        <v>183</v>
      </c>
      <c r="C217" s="3" t="s">
        <v>100</v>
      </c>
      <c r="D217" s="3" t="str">
        <f>IFERROR(MID(VLOOKUP($B217,Seqs!$A:$B,2,0),E217,1),"")</f>
        <v>S</v>
      </c>
      <c r="E217" s="3">
        <v>29</v>
      </c>
      <c r="F217" s="3" t="str">
        <f>IFERROR(MID(VLOOKUP($B217,Seqs!$A:$B,2,0),G217,1),"")</f>
        <v>S</v>
      </c>
      <c r="G217" s="3">
        <v>61</v>
      </c>
      <c r="H217" s="3" t="str">
        <f>IFERROR(MID(VLOOKUP($B217,Seqs!$A:$B,2,0),I217,1),"")</f>
        <v>H</v>
      </c>
      <c r="I217" s="23">
        <v>62</v>
      </c>
      <c r="J217" s="3" t="str">
        <f>IFERROR(MID(VLOOKUP($B217,Seqs!$A:$B,2,0),K217,1),"")</f>
        <v>R</v>
      </c>
      <c r="K217" s="23">
        <v>65</v>
      </c>
      <c r="L217" s="3" t="str">
        <f>IFERROR(MID(VLOOKUP($B217,Seqs!$A:$B,2,0),M217,1),"")</f>
        <v>K</v>
      </c>
      <c r="M217" s="3">
        <v>67</v>
      </c>
      <c r="N217" s="3" t="str">
        <f>IFERROR(MID(VLOOKUP($B217,Seqs!$A:$B,2,0),O217,1),"")</f>
        <v>V</v>
      </c>
      <c r="O217" s="3">
        <v>96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S</v>
      </c>
      <c r="U217" s="3">
        <v>102</v>
      </c>
      <c r="V217" s="3" t="str">
        <f>IFERROR(MID(VLOOKUP($B217,Seqs!$A:$B,2,0),W217,1),"")</f>
        <v>Y</v>
      </c>
      <c r="W217" s="3">
        <v>137</v>
      </c>
      <c r="X217" s="3" t="str">
        <f>IFERROR(MID(VLOOKUP($B217,Seqs!$A:$B,2,0),Y217,1),"")</f>
        <v>P</v>
      </c>
      <c r="Y217" s="3">
        <v>138</v>
      </c>
      <c r="Z217" s="3" t="str">
        <f>IFERROR(MID(VLOOKUP($B217,Seqs!$A:$B,2,0),AA217,1),"")</f>
        <v>L</v>
      </c>
      <c r="AA217" s="3">
        <v>145</v>
      </c>
      <c r="AB217" s="3" t="str">
        <f>IFERROR(MID(VLOOKUP($B217,Seqs!$A:$B,2,0),AC217,1),"")</f>
        <v>T</v>
      </c>
      <c r="AC217" s="3">
        <v>146</v>
      </c>
      <c r="AD217" s="3" t="str">
        <f>IFERROR(MID(VLOOKUP($B217,Seqs!$A:$B,2,0),AE217,1),"")</f>
        <v>G</v>
      </c>
      <c r="AE217" s="3">
        <v>171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P</v>
      </c>
      <c r="AK217" s="3">
        <v>187</v>
      </c>
      <c r="AL217" s="3" t="str">
        <f>IFERROR(MID(VLOOKUP($B217,Seqs!$A:$B,2,0),AM217,1),"")</f>
        <v>G</v>
      </c>
      <c r="AM217" s="3">
        <v>225</v>
      </c>
      <c r="AN217" s="3" t="str">
        <f>IFERROR(MID(VLOOKUP($B217,Seqs!$A:$B,2,0),AO217,1),"")</f>
        <v>R</v>
      </c>
      <c r="AO217" s="3">
        <v>238</v>
      </c>
      <c r="AP217" s="3" t="str">
        <f>IFERROR(MID(VLOOKUP($B217,Seqs!$A:$B,2,0),AQ217,1),"")</f>
        <v>T</v>
      </c>
      <c r="AQ217" s="3">
        <v>271</v>
      </c>
      <c r="AR217" s="3" t="str">
        <f>IFERROR(MID(VLOOKUP($B217,Seqs!$A:$B,2,0),AS217,1),"")</f>
        <v>S</v>
      </c>
      <c r="AS217" s="3">
        <v>274</v>
      </c>
      <c r="AT217" s="3" t="str">
        <f>IFERROR(MID(VLOOKUP($B217,Seqs!$A:$B,2,0),AU217,1),"")</f>
        <v>R</v>
      </c>
      <c r="AU217" s="3">
        <v>302</v>
      </c>
      <c r="AV217" s="3" t="str">
        <f>IFERROR(MID(VLOOKUP($B217,Seqs!$A:$B,2,0),AW217,1),"")</f>
        <v>S</v>
      </c>
      <c r="AW217" s="3">
        <v>303</v>
      </c>
      <c r="AX217" s="3" t="str">
        <f>IFERROR(MID(VLOOKUP($B217,Seqs!$A:$B,2,0),AY217,1),"")</f>
        <v>K</v>
      </c>
      <c r="AY217" s="3">
        <v>319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si="1847"/>
        <v>1</v>
      </c>
      <c r="BC217" s="23">
        <f t="shared" si="1848"/>
        <v>258</v>
      </c>
      <c r="BD217" s="2" t="s">
        <v>23</v>
      </c>
      <c r="BE217" s="3" t="s">
        <v>23</v>
      </c>
      <c r="BF217" s="118" t="s">
        <v>23</v>
      </c>
      <c r="BG217" s="49" t="s">
        <v>23</v>
      </c>
      <c r="BH217" s="49" t="s">
        <v>23</v>
      </c>
      <c r="BJ217" s="70" t="s">
        <v>1283</v>
      </c>
      <c r="BK217" s="57" t="s">
        <v>1283</v>
      </c>
      <c r="BL217" s="57" t="s">
        <v>1283</v>
      </c>
      <c r="BM217" s="57" t="s">
        <v>1283</v>
      </c>
      <c r="BN217" s="57" t="s">
        <v>1283</v>
      </c>
      <c r="BO217" s="57" t="s">
        <v>1283</v>
      </c>
      <c r="BP217" s="57" t="s">
        <v>1283</v>
      </c>
      <c r="BQ217" s="57" t="s">
        <v>1283</v>
      </c>
      <c r="BR217" s="57" t="s">
        <v>1283</v>
      </c>
      <c r="BS217" s="57" t="s">
        <v>1283</v>
      </c>
      <c r="BT217" s="57" t="s">
        <v>1283</v>
      </c>
      <c r="BU217" s="57" t="s">
        <v>1283</v>
      </c>
      <c r="BV217" s="70">
        <f t="shared" si="1849"/>
        <v>29</v>
      </c>
      <c r="BW217" s="71">
        <f t="shared" si="1850"/>
        <v>62</v>
      </c>
      <c r="BX217" s="72">
        <f t="shared" si="1851"/>
        <v>67</v>
      </c>
      <c r="BY217" s="71" t="str">
        <f t="shared" si="1852"/>
        <v>-</v>
      </c>
      <c r="BZ217" s="72">
        <f t="shared" si="1853"/>
        <v>102</v>
      </c>
      <c r="CA217" s="71">
        <f t="shared" si="1854"/>
        <v>138</v>
      </c>
      <c r="CB217" s="72">
        <f t="shared" si="1855"/>
        <v>146</v>
      </c>
      <c r="CC217" s="71" t="str">
        <f t="shared" si="1856"/>
        <v>-</v>
      </c>
      <c r="CD217" s="72">
        <f t="shared" si="1857"/>
        <v>187</v>
      </c>
      <c r="CE217" s="71">
        <f t="shared" si="1858"/>
        <v>238</v>
      </c>
      <c r="CF217" s="72">
        <f t="shared" si="1859"/>
        <v>274</v>
      </c>
      <c r="CG217" s="71">
        <f t="shared" si="1860"/>
        <v>303</v>
      </c>
      <c r="CH217" s="70">
        <f t="shared" si="1861"/>
        <v>61</v>
      </c>
      <c r="CI217" s="71">
        <f t="shared" si="1862"/>
        <v>65</v>
      </c>
      <c r="CJ217" s="72">
        <f t="shared" si="1863"/>
        <v>96</v>
      </c>
      <c r="CK217" s="72" t="str">
        <f t="shared" si="1864"/>
        <v>-</v>
      </c>
      <c r="CL217" s="72">
        <f t="shared" si="1865"/>
        <v>137</v>
      </c>
      <c r="CM217" s="72">
        <f t="shared" si="1866"/>
        <v>145</v>
      </c>
      <c r="CN217" s="72">
        <f t="shared" si="1867"/>
        <v>171</v>
      </c>
      <c r="CO217" s="72" t="str">
        <f t="shared" si="1868"/>
        <v>-</v>
      </c>
      <c r="CP217" s="72">
        <f t="shared" si="1869"/>
        <v>225</v>
      </c>
      <c r="CQ217" s="72">
        <f t="shared" si="1870"/>
        <v>271</v>
      </c>
      <c r="CR217" s="72">
        <f t="shared" si="1871"/>
        <v>302</v>
      </c>
      <c r="CS217" s="72">
        <f t="shared" si="1872"/>
        <v>319</v>
      </c>
      <c r="CT217" s="23">
        <f t="shared" si="1873"/>
        <v>2</v>
      </c>
    </row>
    <row r="218" spans="1:1030" x14ac:dyDescent="0.2">
      <c r="A218" s="3" t="str">
        <f t="shared" si="1846"/>
        <v>cnr2_human_5ZTY</v>
      </c>
      <c r="B218" s="3" t="s">
        <v>183</v>
      </c>
      <c r="C218" s="3" t="s">
        <v>1553</v>
      </c>
      <c r="D218" s="3" t="str">
        <f>IFERROR(MID(VLOOKUP($B218,Seqs!$A:$B,2,0),E218,1),"")</f>
        <v>S</v>
      </c>
      <c r="E218" s="3">
        <v>29</v>
      </c>
      <c r="F218" s="3" t="str">
        <f>IFERROR(MID(VLOOKUP($B218,Seqs!$A:$B,2,0),G218,1),"")</f>
        <v>S</v>
      </c>
      <c r="G218" s="3">
        <v>61</v>
      </c>
      <c r="H218" s="3" t="str">
        <f>IFERROR(MID(VLOOKUP($B218,Seqs!$A:$B,2,0),I218,1),"")</f>
        <v>H</v>
      </c>
      <c r="I218" s="23">
        <v>62</v>
      </c>
      <c r="J218" s="3" t="str">
        <f>IFERROR(MID(VLOOKUP($B218,Seqs!$A:$B,2,0),K218,1),"")</f>
        <v>R</v>
      </c>
      <c r="K218" s="23">
        <v>65</v>
      </c>
      <c r="L218" s="3" t="str">
        <f>IFERROR(MID(VLOOKUP($B218,Seqs!$A:$B,2,0),M218,1),"")</f>
        <v>K</v>
      </c>
      <c r="M218" s="3">
        <v>67</v>
      </c>
      <c r="N218" s="3" t="str">
        <f>IFERROR(MID(VLOOKUP($B218,Seqs!$A:$B,2,0),O218,1),"")</f>
        <v>V</v>
      </c>
      <c r="O218" s="3">
        <v>96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102</v>
      </c>
      <c r="V218" s="3" t="str">
        <f>IFERROR(MID(VLOOKUP($B218,Seqs!$A:$B,2,0),W218,1),"")</f>
        <v>Y</v>
      </c>
      <c r="W218" s="3">
        <v>137</v>
      </c>
      <c r="X218" s="3" t="str">
        <f>IFERROR(MID(VLOOKUP($B218,Seqs!$A:$B,2,0),Y218,1),"")</f>
        <v>P</v>
      </c>
      <c r="Y218" s="3">
        <v>138</v>
      </c>
      <c r="Z218" s="3" t="str">
        <f>IFERROR(MID(VLOOKUP($B218,Seqs!$A:$B,2,0),AA218,1),"")</f>
        <v>L</v>
      </c>
      <c r="AA218" s="3">
        <v>145</v>
      </c>
      <c r="AB218" s="3" t="str">
        <f>IFERROR(MID(VLOOKUP($B218,Seqs!$A:$B,2,0),AC218,1),"")</f>
        <v>T</v>
      </c>
      <c r="AC218" s="3">
        <v>146</v>
      </c>
      <c r="AD218" s="3" t="str">
        <f>IFERROR(MID(VLOOKUP($B218,Seqs!$A:$B,2,0),AE218,1),"")</f>
        <v>G</v>
      </c>
      <c r="AE218" s="3">
        <v>171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P</v>
      </c>
      <c r="AK218" s="3">
        <v>187</v>
      </c>
      <c r="AL218" s="3" t="str">
        <f>IFERROR(MID(VLOOKUP($B218,Seqs!$A:$B,2,0),AM218,1),"")</f>
        <v>V</v>
      </c>
      <c r="AM218" s="3">
        <v>220</v>
      </c>
      <c r="AN218" s="3" t="str">
        <f>IFERROR(MID(VLOOKUP($B218,Seqs!$A:$B,2,0),AO218,1),"")</f>
        <v>M</v>
      </c>
      <c r="AO218" s="3">
        <v>237</v>
      </c>
      <c r="AP218" s="3" t="str">
        <f>IFERROR(MID(VLOOKUP($B218,Seqs!$A:$B,2,0),AQ218,1),"")</f>
        <v>T</v>
      </c>
      <c r="AQ218" s="3">
        <v>271</v>
      </c>
      <c r="AR218" s="3" t="str">
        <f>IFERROR(MID(VLOOKUP($B218,Seqs!$A:$B,2,0),AS218,1),"")</f>
        <v>S</v>
      </c>
      <c r="AS218" s="3">
        <v>274</v>
      </c>
      <c r="AT218" s="3" t="str">
        <f>IFERROR(MID(VLOOKUP($B218,Seqs!$A:$B,2,0),AU218,1),"")</f>
        <v>R</v>
      </c>
      <c r="AU218" s="3">
        <v>302</v>
      </c>
      <c r="AV218" s="3" t="str">
        <f>IFERROR(MID(VLOOKUP($B218,Seqs!$A:$B,2,0),AW218,1),"")</f>
        <v>S</v>
      </c>
      <c r="AW218" s="3">
        <v>303</v>
      </c>
      <c r="AX218" s="3" t="str">
        <f>IFERROR(MID(VLOOKUP($B218,Seqs!$A:$B,2,0),AY218,1),"")</f>
        <v>K</v>
      </c>
      <c r="AY218" s="3">
        <v>319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si="1847"/>
        <v>1</v>
      </c>
      <c r="BC218" s="23">
        <f t="shared" si="1848"/>
        <v>254</v>
      </c>
      <c r="BD218" s="2" t="s">
        <v>1372</v>
      </c>
      <c r="BE218" s="3" t="s">
        <v>1370</v>
      </c>
      <c r="BF218" s="118">
        <v>2.8</v>
      </c>
      <c r="BG218" s="49" t="s">
        <v>1</v>
      </c>
      <c r="BH218" s="49" t="s">
        <v>1</v>
      </c>
      <c r="BJ218" s="70" t="s">
        <v>1283</v>
      </c>
      <c r="BK218" s="57" t="s">
        <v>1283</v>
      </c>
      <c r="BL218" s="57" t="s">
        <v>1283</v>
      </c>
      <c r="BM218" s="57" t="s">
        <v>1283</v>
      </c>
      <c r="BN218" s="57" t="s">
        <v>1283</v>
      </c>
      <c r="BO218" s="57" t="s">
        <v>1283</v>
      </c>
      <c r="BP218" s="57" t="s">
        <v>1283</v>
      </c>
      <c r="BQ218" s="57" t="s">
        <v>1283</v>
      </c>
      <c r="BR218" s="57" t="s">
        <v>1283</v>
      </c>
      <c r="BS218" s="57" t="s">
        <v>1283</v>
      </c>
      <c r="BT218" s="57" t="s">
        <v>1283</v>
      </c>
      <c r="BU218" s="57" t="s">
        <v>1283</v>
      </c>
      <c r="BV218" s="70">
        <f t="shared" si="1849"/>
        <v>29</v>
      </c>
      <c r="BW218" s="71">
        <f t="shared" si="1850"/>
        <v>62</v>
      </c>
      <c r="BX218" s="72">
        <f t="shared" si="1851"/>
        <v>67</v>
      </c>
      <c r="BY218" s="71" t="str">
        <f t="shared" si="1852"/>
        <v>-</v>
      </c>
      <c r="BZ218" s="72">
        <f t="shared" si="1853"/>
        <v>102</v>
      </c>
      <c r="CA218" s="71">
        <f t="shared" si="1854"/>
        <v>138</v>
      </c>
      <c r="CB218" s="72">
        <f t="shared" si="1855"/>
        <v>146</v>
      </c>
      <c r="CC218" s="71" t="str">
        <f t="shared" si="1856"/>
        <v>-</v>
      </c>
      <c r="CD218" s="72">
        <f t="shared" si="1857"/>
        <v>187</v>
      </c>
      <c r="CE218" s="71">
        <f t="shared" si="1858"/>
        <v>237</v>
      </c>
      <c r="CF218" s="72">
        <f t="shared" si="1859"/>
        <v>274</v>
      </c>
      <c r="CG218" s="71">
        <f t="shared" si="1860"/>
        <v>303</v>
      </c>
      <c r="CH218" s="70">
        <f t="shared" si="1861"/>
        <v>61</v>
      </c>
      <c r="CI218" s="71">
        <f t="shared" si="1862"/>
        <v>65</v>
      </c>
      <c r="CJ218" s="72">
        <f t="shared" si="1863"/>
        <v>96</v>
      </c>
      <c r="CK218" s="72" t="str">
        <f t="shared" si="1864"/>
        <v>-</v>
      </c>
      <c r="CL218" s="72">
        <f t="shared" si="1865"/>
        <v>137</v>
      </c>
      <c r="CM218" s="72">
        <f t="shared" si="1866"/>
        <v>145</v>
      </c>
      <c r="CN218" s="72">
        <f t="shared" si="1867"/>
        <v>171</v>
      </c>
      <c r="CO218" s="72" t="str">
        <f t="shared" si="1868"/>
        <v>-</v>
      </c>
      <c r="CP218" s="72">
        <f t="shared" si="1869"/>
        <v>220</v>
      </c>
      <c r="CQ218" s="72">
        <f t="shared" si="1870"/>
        <v>271</v>
      </c>
      <c r="CR218" s="72">
        <f t="shared" si="1871"/>
        <v>302</v>
      </c>
      <c r="CS218" s="72">
        <f t="shared" si="1872"/>
        <v>319</v>
      </c>
      <c r="CT218" s="23">
        <f t="shared" si="1873"/>
        <v>2</v>
      </c>
    </row>
    <row r="219" spans="1:1030" x14ac:dyDescent="0.2">
      <c r="A219" s="3" t="str">
        <f t="shared" ref="A219" si="1902">CONCATENATE(B219,"_",C219)</f>
        <v>cnr2_human_6KPC</v>
      </c>
      <c r="B219" s="3" t="s">
        <v>183</v>
      </c>
      <c r="C219" s="3" t="s">
        <v>1645</v>
      </c>
      <c r="D219" s="3" t="str">
        <f>IFERROR(MID(VLOOKUP($B219,Seqs!$A:$B,2,0),E219,1),"")</f>
        <v>S</v>
      </c>
      <c r="E219" s="3">
        <v>29</v>
      </c>
      <c r="F219" s="3" t="str">
        <f>IFERROR(MID(VLOOKUP($B219,Seqs!$A:$B,2,0),G219,1),"")</f>
        <v>S</v>
      </c>
      <c r="G219" s="3">
        <v>61</v>
      </c>
      <c r="H219" s="3" t="str">
        <f>IFERROR(MID(VLOOKUP($B219,Seqs!$A:$B,2,0),I219,1),"")</f>
        <v>H</v>
      </c>
      <c r="I219" s="23">
        <v>62</v>
      </c>
      <c r="J219" s="3" t="str">
        <f>IFERROR(MID(VLOOKUP($B219,Seqs!$A:$B,2,0),K219,1),"")</f>
        <v>R</v>
      </c>
      <c r="K219" s="23">
        <v>65</v>
      </c>
      <c r="L219" s="3" t="str">
        <f>IFERROR(MID(VLOOKUP($B219,Seqs!$A:$B,2,0),M219,1),"")</f>
        <v>P</v>
      </c>
      <c r="M219" s="3">
        <v>68</v>
      </c>
      <c r="N219" s="3" t="str">
        <f>IFERROR(MID(VLOOKUP($B219,Seqs!$A:$B,2,0),O219,1),"")</f>
        <v>H</v>
      </c>
      <c r="O219" s="3">
        <v>95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S</v>
      </c>
      <c r="U219" s="3">
        <v>102</v>
      </c>
      <c r="V219" s="3" t="str">
        <f>IFERROR(MID(VLOOKUP($B219,Seqs!$A:$B,2,0),W219,1),"")</f>
        <v>Y</v>
      </c>
      <c r="W219" s="3">
        <v>137</v>
      </c>
      <c r="X219" s="3" t="str">
        <f>IFERROR(MID(VLOOKUP($B219,Seqs!$A:$B,2,0),Y219,1),"")</f>
        <v>P</v>
      </c>
      <c r="Y219" s="3">
        <v>138</v>
      </c>
      <c r="Z219" s="3" t="str">
        <f>IFERROR(MID(VLOOKUP($B219,Seqs!$A:$B,2,0),AA219,1),"")</f>
        <v>L</v>
      </c>
      <c r="AA219" s="3">
        <v>145</v>
      </c>
      <c r="AB219" s="3" t="str">
        <f>IFERROR(MID(VLOOKUP($B219,Seqs!$A:$B,2,0),AC219,1),"")</f>
        <v>T</v>
      </c>
      <c r="AC219" s="3">
        <v>146</v>
      </c>
      <c r="AD219" s="3" t="str">
        <f>IFERROR(MID(VLOOKUP($B219,Seqs!$A:$B,2,0),AE219,1),"")</f>
        <v>M</v>
      </c>
      <c r="AE219" s="3">
        <v>170</v>
      </c>
      <c r="AF219" s="3" t="str">
        <f>IFERROR(MID(VLOOKUP($B219,Seqs!$A:$B,2,0),AG219,1),"")</f>
        <v/>
      </c>
      <c r="AG219" s="3" t="s">
        <v>23</v>
      </c>
      <c r="AH219" s="3" t="str">
        <f>IFERROR(MID(VLOOKUP($B219,Seqs!$A:$B,2,0),AI219,1),"")</f>
        <v/>
      </c>
      <c r="AI219" s="3" t="s">
        <v>23</v>
      </c>
      <c r="AJ219" s="3" t="str">
        <f>IFERROR(MID(VLOOKUP($B219,Seqs!$A:$B,2,0),AK219,1),"")</f>
        <v>P</v>
      </c>
      <c r="AK219" s="3">
        <v>187</v>
      </c>
      <c r="AL219" s="3" t="str">
        <f>IFERROR(MID(VLOOKUP($B219,Seqs!$A:$B,2,0),AM219,1),"")</f>
        <v>V</v>
      </c>
      <c r="AM219" s="3">
        <v>220</v>
      </c>
      <c r="AN219" s="3" t="str">
        <f>IFERROR(MID(VLOOKUP($B219,Seqs!$A:$B,2,0),AO219,1),"")</f>
        <v>M</v>
      </c>
      <c r="AO219" s="3">
        <v>237</v>
      </c>
      <c r="AP219" s="3" t="str">
        <f>IFERROR(MID(VLOOKUP($B219,Seqs!$A:$B,2,0),AQ219,1),"")</f>
        <v>T</v>
      </c>
      <c r="AQ219" s="3">
        <v>271</v>
      </c>
      <c r="AR219" s="3" t="str">
        <f>IFERROR(MID(VLOOKUP($B219,Seqs!$A:$B,2,0),AS219,1),"")</f>
        <v>S</v>
      </c>
      <c r="AS219" s="3">
        <v>274</v>
      </c>
      <c r="AT219" s="3" t="str">
        <f>IFERROR(MID(VLOOKUP($B219,Seqs!$A:$B,2,0),AU219,1),"")</f>
        <v>R</v>
      </c>
      <c r="AU219" s="3">
        <v>302</v>
      </c>
      <c r="AV219" s="3" t="str">
        <f>IFERROR(MID(VLOOKUP($B219,Seqs!$A:$B,2,0),AW219,1),"")</f>
        <v>S</v>
      </c>
      <c r="AW219" s="3">
        <v>303</v>
      </c>
      <c r="AX219" s="3" t="str">
        <f>IFERROR(MID(VLOOKUP($B219,Seqs!$A:$B,2,0),AY219,1),"")</f>
        <v>H</v>
      </c>
      <c r="AY219" s="3">
        <v>312</v>
      </c>
      <c r="AZ219" s="77" t="str">
        <f>VLOOKUP(B219,Classification!A:D,2,0)</f>
        <v>A</v>
      </c>
      <c r="BA219" s="94" t="str">
        <f>VLOOKUP(B219,Classification!A:D,4,0)</f>
        <v>Cannabinoid</v>
      </c>
      <c r="BB219" s="27" t="b">
        <f t="shared" ref="BB219" si="1903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 t="shared" ref="BC219" si="1904">_xlfn.AGGREGATE(9,6,CH219:CS219)-_xlfn.AGGREGATE(9,6,BV219:CG219)+12</f>
        <v>244</v>
      </c>
      <c r="BD219" s="2" t="s">
        <v>23</v>
      </c>
      <c r="BE219" s="3" t="s">
        <v>1370</v>
      </c>
      <c r="BF219" s="118">
        <v>3.2</v>
      </c>
      <c r="BG219" s="49" t="s">
        <v>1</v>
      </c>
      <c r="BH219" s="49" t="s">
        <v>1</v>
      </c>
      <c r="BJ219" s="70" t="s">
        <v>1283</v>
      </c>
      <c r="BK219" s="57" t="s">
        <v>1283</v>
      </c>
      <c r="BL219" s="57" t="s">
        <v>1283</v>
      </c>
      <c r="BM219" s="57" t="s">
        <v>1283</v>
      </c>
      <c r="BN219" s="57" t="s">
        <v>1283</v>
      </c>
      <c r="BO219" s="57" t="s">
        <v>1283</v>
      </c>
      <c r="BP219" s="57" t="s">
        <v>1283</v>
      </c>
      <c r="BQ219" s="57" t="s">
        <v>1283</v>
      </c>
      <c r="BR219" s="57" t="s">
        <v>1283</v>
      </c>
      <c r="BS219" s="57" t="s">
        <v>1283</v>
      </c>
      <c r="BT219" s="57" t="s">
        <v>1283</v>
      </c>
      <c r="BU219" s="57" t="s">
        <v>1283</v>
      </c>
      <c r="BV219" s="70">
        <f t="shared" ref="BV219" si="1905">E219</f>
        <v>29</v>
      </c>
      <c r="BW219" s="71">
        <f t="shared" ref="BW219" si="1906">I219</f>
        <v>62</v>
      </c>
      <c r="BX219" s="72">
        <f t="shared" ref="BX219" si="1907">M219</f>
        <v>68</v>
      </c>
      <c r="BY219" s="71" t="str">
        <f t="shared" ref="BY219" si="1908">Q219</f>
        <v>-</v>
      </c>
      <c r="BZ219" s="72">
        <f t="shared" ref="BZ219" si="1909">U219</f>
        <v>102</v>
      </c>
      <c r="CA219" s="71">
        <f t="shared" ref="CA219" si="1910">Y219</f>
        <v>138</v>
      </c>
      <c r="CB219" s="72">
        <f t="shared" ref="CB219" si="1911">AC219</f>
        <v>146</v>
      </c>
      <c r="CC219" s="71" t="str">
        <f t="shared" ref="CC219" si="1912">AG219</f>
        <v>-</v>
      </c>
      <c r="CD219" s="72">
        <f t="shared" ref="CD219" si="1913">AK219</f>
        <v>187</v>
      </c>
      <c r="CE219" s="71">
        <f t="shared" ref="CE219" si="1914">AO219</f>
        <v>237</v>
      </c>
      <c r="CF219" s="72">
        <f t="shared" ref="CF219" si="1915">AS219</f>
        <v>274</v>
      </c>
      <c r="CG219" s="71">
        <f t="shared" ref="CG219" si="1916">AW219</f>
        <v>303</v>
      </c>
      <c r="CH219" s="70">
        <f t="shared" ref="CH219" si="1917">G219</f>
        <v>61</v>
      </c>
      <c r="CI219" s="71">
        <f t="shared" ref="CI219" si="1918">K219</f>
        <v>65</v>
      </c>
      <c r="CJ219" s="72">
        <f t="shared" ref="CJ219" si="1919">O219</f>
        <v>95</v>
      </c>
      <c r="CK219" s="72" t="str">
        <f t="shared" ref="CK219" si="1920">S219</f>
        <v>-</v>
      </c>
      <c r="CL219" s="72">
        <f t="shared" ref="CL219" si="1921">W219</f>
        <v>137</v>
      </c>
      <c r="CM219" s="72">
        <f t="shared" ref="CM219" si="1922">AA219</f>
        <v>145</v>
      </c>
      <c r="CN219" s="72">
        <f t="shared" ref="CN219" si="1923">AE219</f>
        <v>170</v>
      </c>
      <c r="CO219" s="72" t="str">
        <f t="shared" ref="CO219" si="1924">AI219</f>
        <v>-</v>
      </c>
      <c r="CP219" s="72">
        <f t="shared" ref="CP219" si="1925">AM219</f>
        <v>220</v>
      </c>
      <c r="CQ219" s="72">
        <f t="shared" ref="CQ219" si="1926">AQ219</f>
        <v>271</v>
      </c>
      <c r="CR219" s="72">
        <f t="shared" ref="CR219" si="1927">AU219</f>
        <v>302</v>
      </c>
      <c r="CS219" s="72">
        <f t="shared" ref="CS219" si="1928">AY219</f>
        <v>312</v>
      </c>
      <c r="CT219" s="23">
        <f t="shared" ref="CT219" si="1929">M219-K219</f>
        <v>3</v>
      </c>
    </row>
    <row r="220" spans="1:1030" x14ac:dyDescent="0.2">
      <c r="A220" s="3" t="str">
        <f t="shared" ref="A220" si="1930">CONCATENATE(B220,"_",C220)</f>
        <v>cnr2_human_6KPF</v>
      </c>
      <c r="B220" s="3" t="s">
        <v>183</v>
      </c>
      <c r="C220" s="3" t="s">
        <v>1646</v>
      </c>
      <c r="D220" s="3" t="str">
        <f>IFERROR(MID(VLOOKUP($B220,Seqs!$A:$B,2,0),E220,1),"")</f>
        <v>S</v>
      </c>
      <c r="E220" s="3">
        <v>29</v>
      </c>
      <c r="F220" s="3" t="str">
        <f>IFERROR(MID(VLOOKUP($B220,Seqs!$A:$B,2,0),G220,1),"")</f>
        <v>S</v>
      </c>
      <c r="G220" s="3">
        <v>60</v>
      </c>
      <c r="H220" s="3" t="str">
        <f>IFERROR(MID(VLOOKUP($B220,Seqs!$A:$B,2,0),I220,1),"")</f>
        <v>H</v>
      </c>
      <c r="I220" s="23">
        <v>62</v>
      </c>
      <c r="J220" s="3" t="str">
        <f>IFERROR(MID(VLOOKUP($B220,Seqs!$A:$B,2,0),K220,1),"")</f>
        <v>R</v>
      </c>
      <c r="K220" s="23">
        <v>65</v>
      </c>
      <c r="L220" s="3" t="str">
        <f>IFERROR(MID(VLOOKUP($B220,Seqs!$A:$B,2,0),M220,1),"")</f>
        <v>K</v>
      </c>
      <c r="M220" s="3">
        <v>67</v>
      </c>
      <c r="N220" s="3" t="str">
        <f>IFERROR(MID(VLOOKUP($B220,Seqs!$A:$B,2,0),O220,1),"")</f>
        <v>H</v>
      </c>
      <c r="O220" s="3">
        <v>95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V</v>
      </c>
      <c r="U220" s="3">
        <v>105</v>
      </c>
      <c r="V220" s="3" t="str">
        <f>IFERROR(MID(VLOOKUP($B220,Seqs!$A:$B,2,0),W220,1),"")</f>
        <v>R</v>
      </c>
      <c r="W220" s="3">
        <v>136</v>
      </c>
      <c r="X220" s="3" t="str">
        <f>IFERROR(MID(VLOOKUP($B220,Seqs!$A:$B,2,0),Y220,1),"")</f>
        <v>P</v>
      </c>
      <c r="Y220" s="3">
        <v>138</v>
      </c>
      <c r="Z220" s="3" t="str">
        <f>IFERROR(MID(VLOOKUP($B220,Seqs!$A:$B,2,0),AA220,1),"")</f>
        <v>L</v>
      </c>
      <c r="AA220" s="3">
        <v>145</v>
      </c>
      <c r="AB220" s="3" t="str">
        <f>IFERROR(MID(VLOOKUP($B220,Seqs!$A:$B,2,0),AC220,1),"")</f>
        <v>T</v>
      </c>
      <c r="AC220" s="3">
        <v>146</v>
      </c>
      <c r="AD220" s="3" t="str">
        <f>IFERROR(MID(VLOOKUP($B220,Seqs!$A:$B,2,0),AE220,1),"")</f>
        <v>Y</v>
      </c>
      <c r="AE220" s="3">
        <v>166</v>
      </c>
      <c r="AF220" s="3" t="str">
        <f>IFERROR(MID(VLOOKUP($B220,Seqs!$A:$B,2,0),AG220,1),"")</f>
        <v/>
      </c>
      <c r="AG220" s="3" t="s">
        <v>23</v>
      </c>
      <c r="AH220" s="3" t="str">
        <f>IFERROR(MID(VLOOKUP($B220,Seqs!$A:$B,2,0),AI220,1),"")</f>
        <v/>
      </c>
      <c r="AI220" s="3" t="s">
        <v>23</v>
      </c>
      <c r="AJ220" s="3" t="str">
        <f>IFERROR(MID(VLOOKUP($B220,Seqs!$A:$B,2,0),AK220,1),"")</f>
        <v>P</v>
      </c>
      <c r="AK220" s="3">
        <v>187</v>
      </c>
      <c r="AL220" s="3" t="str">
        <f>IFERROR(MID(VLOOKUP($B220,Seqs!$A:$B,2,0),AM220,1),"")</f>
        <v>H</v>
      </c>
      <c r="AM220" s="3">
        <v>226</v>
      </c>
      <c r="AN220" s="3" t="str">
        <f>IFERROR(MID(VLOOKUP($B220,Seqs!$A:$B,2,0),AO220,1),"")</f>
        <v>R</v>
      </c>
      <c r="AO220" s="3">
        <v>238</v>
      </c>
      <c r="AP220" s="3" t="str">
        <f>IFERROR(MID(VLOOKUP($B220,Seqs!$A:$B,2,0),AQ220,1),"")</f>
        <v>A</v>
      </c>
      <c r="AQ220" s="3">
        <v>266</v>
      </c>
      <c r="AR220" s="3" t="str">
        <f>IFERROR(MID(VLOOKUP($B220,Seqs!$A:$B,2,0),AS220,1),"")</f>
        <v>D</v>
      </c>
      <c r="AS220" s="3">
        <v>275</v>
      </c>
      <c r="AT220" s="3" t="str">
        <f>IFERROR(MID(VLOOKUP($B220,Seqs!$A:$B,2,0),AU220,1),"")</f>
        <v>R</v>
      </c>
      <c r="AU220" s="3">
        <v>302</v>
      </c>
      <c r="AV220" s="3" t="str">
        <f>IFERROR(MID(VLOOKUP($B220,Seqs!$A:$B,2,0),AW220,1),"")</f>
        <v>S</v>
      </c>
      <c r="AW220" s="3">
        <v>303</v>
      </c>
      <c r="AX220" s="3" t="str">
        <f>IFERROR(MID(VLOOKUP($B220,Seqs!$A:$B,2,0),AY220,1),"")</f>
        <v>C</v>
      </c>
      <c r="AY220" s="3">
        <v>313</v>
      </c>
      <c r="AZ220" s="77" t="str">
        <f>VLOOKUP(B220,Classification!A:D,2,0)</f>
        <v>A</v>
      </c>
      <c r="BA220" s="94" t="str">
        <f>VLOOKUP(B220,Classification!A:D,4,0)</f>
        <v>Cannabinoid</v>
      </c>
      <c r="BB220" s="27" t="b">
        <f t="shared" ref="BB220" si="1931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23">
        <f t="shared" ref="BC220" si="1932">_xlfn.AGGREGATE(9,6,CH220:CS220)-_xlfn.AGGREGATE(9,6,BV220:CG220)+12</f>
        <v>236</v>
      </c>
      <c r="BD220" s="2" t="s">
        <v>23</v>
      </c>
      <c r="BE220" s="3" t="s">
        <v>1287</v>
      </c>
      <c r="BF220" s="118">
        <v>2.9</v>
      </c>
      <c r="BG220" s="49" t="s">
        <v>1418</v>
      </c>
      <c r="BH220" s="49" t="s">
        <v>1418</v>
      </c>
      <c r="BJ220" s="70" t="s">
        <v>1283</v>
      </c>
      <c r="BK220" s="57" t="s">
        <v>1283</v>
      </c>
      <c r="BL220" s="57" t="s">
        <v>1283</v>
      </c>
      <c r="BM220" s="57" t="s">
        <v>1283</v>
      </c>
      <c r="BN220" s="57" t="s">
        <v>1283</v>
      </c>
      <c r="BO220" s="57" t="s">
        <v>1283</v>
      </c>
      <c r="BP220" s="57" t="s">
        <v>1283</v>
      </c>
      <c r="BQ220" s="57" t="s">
        <v>1283</v>
      </c>
      <c r="BR220" s="57" t="s">
        <v>1283</v>
      </c>
      <c r="BS220" s="57" t="s">
        <v>1283</v>
      </c>
      <c r="BT220" s="57" t="s">
        <v>1283</v>
      </c>
      <c r="BU220" s="57" t="s">
        <v>1283</v>
      </c>
      <c r="BV220" s="70">
        <f t="shared" ref="BV220" si="1933">E220</f>
        <v>29</v>
      </c>
      <c r="BW220" s="71">
        <f t="shared" ref="BW220" si="1934">I220</f>
        <v>62</v>
      </c>
      <c r="BX220" s="72">
        <f t="shared" ref="BX220" si="1935">M220</f>
        <v>67</v>
      </c>
      <c r="BY220" s="71" t="str">
        <f t="shared" ref="BY220" si="1936">Q220</f>
        <v>-</v>
      </c>
      <c r="BZ220" s="72">
        <f t="shared" ref="BZ220" si="1937">U220</f>
        <v>105</v>
      </c>
      <c r="CA220" s="71">
        <f t="shared" ref="CA220" si="1938">Y220</f>
        <v>138</v>
      </c>
      <c r="CB220" s="72">
        <f t="shared" ref="CB220" si="1939">AC220</f>
        <v>146</v>
      </c>
      <c r="CC220" s="71" t="str">
        <f t="shared" ref="CC220" si="1940">AG220</f>
        <v>-</v>
      </c>
      <c r="CD220" s="72">
        <f t="shared" ref="CD220" si="1941">AK220</f>
        <v>187</v>
      </c>
      <c r="CE220" s="71">
        <f t="shared" ref="CE220" si="1942">AO220</f>
        <v>238</v>
      </c>
      <c r="CF220" s="72">
        <f t="shared" ref="CF220" si="1943">AS220</f>
        <v>275</v>
      </c>
      <c r="CG220" s="71">
        <f t="shared" ref="CG220" si="1944">AW220</f>
        <v>303</v>
      </c>
      <c r="CH220" s="70">
        <f t="shared" ref="CH220" si="1945">G220</f>
        <v>60</v>
      </c>
      <c r="CI220" s="71">
        <f t="shared" ref="CI220" si="1946">K220</f>
        <v>65</v>
      </c>
      <c r="CJ220" s="72">
        <f t="shared" ref="CJ220" si="1947">O220</f>
        <v>95</v>
      </c>
      <c r="CK220" s="72" t="str">
        <f t="shared" ref="CK220" si="1948">S220</f>
        <v>-</v>
      </c>
      <c r="CL220" s="72">
        <f t="shared" ref="CL220" si="1949">W220</f>
        <v>136</v>
      </c>
      <c r="CM220" s="72">
        <f t="shared" ref="CM220" si="1950">AA220</f>
        <v>145</v>
      </c>
      <c r="CN220" s="72">
        <f t="shared" ref="CN220" si="1951">AE220</f>
        <v>166</v>
      </c>
      <c r="CO220" s="72" t="str">
        <f t="shared" ref="CO220" si="1952">AI220</f>
        <v>-</v>
      </c>
      <c r="CP220" s="72">
        <f t="shared" ref="CP220" si="1953">AM220</f>
        <v>226</v>
      </c>
      <c r="CQ220" s="72">
        <f t="shared" ref="CQ220" si="1954">AQ220</f>
        <v>266</v>
      </c>
      <c r="CR220" s="72">
        <f t="shared" ref="CR220" si="1955">AU220</f>
        <v>302</v>
      </c>
      <c r="CS220" s="72">
        <f t="shared" ref="CS220" si="1956">AY220</f>
        <v>313</v>
      </c>
      <c r="CT220" s="23">
        <f t="shared" ref="CT220" si="1957">M220-K220</f>
        <v>2</v>
      </c>
    </row>
    <row r="221" spans="1:1030" x14ac:dyDescent="0.2">
      <c r="A221" s="3" t="str">
        <f t="shared" ref="A221" si="1958">CONCATENATE(B221,"_",C221)</f>
        <v>cnr2_human_6PT0</v>
      </c>
      <c r="B221" s="3" t="s">
        <v>183</v>
      </c>
      <c r="C221" s="3" t="s">
        <v>1647</v>
      </c>
      <c r="D221" s="3" t="str">
        <f>IFERROR(MID(VLOOKUP($B221,Seqs!$A:$B,2,0),E221,1),"")</f>
        <v>S</v>
      </c>
      <c r="E221" s="3">
        <v>29</v>
      </c>
      <c r="F221" s="3" t="str">
        <f>IFERROR(MID(VLOOKUP($B221,Seqs!$A:$B,2,0),G221,1),"")</f>
        <v>S</v>
      </c>
      <c r="G221" s="3">
        <v>60</v>
      </c>
      <c r="H221" s="3" t="str">
        <f>IFERROR(MID(VLOOKUP($B221,Seqs!$A:$B,2,0),I221,1),"")</f>
        <v>H</v>
      </c>
      <c r="I221" s="23">
        <v>62</v>
      </c>
      <c r="J221" s="3" t="str">
        <f>IFERROR(MID(VLOOKUP($B221,Seqs!$A:$B,2,0),K221,1),"")</f>
        <v>R</v>
      </c>
      <c r="K221" s="23">
        <v>65</v>
      </c>
      <c r="L221" s="3" t="str">
        <f>IFERROR(MID(VLOOKUP($B221,Seqs!$A:$B,2,0),M221,1),"")</f>
        <v>K</v>
      </c>
      <c r="M221" s="3">
        <v>67</v>
      </c>
      <c r="N221" s="3" t="str">
        <f>IFERROR(MID(VLOOKUP($B221,Seqs!$A:$B,2,0),O221,1),"")</f>
        <v>V</v>
      </c>
      <c r="O221" s="3">
        <v>96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S</v>
      </c>
      <c r="U221" s="3">
        <v>102</v>
      </c>
      <c r="V221" s="3" t="str">
        <f>IFERROR(MID(VLOOKUP($B221,Seqs!$A:$B,2,0),W221,1),"")</f>
        <v>Y</v>
      </c>
      <c r="W221" s="3">
        <v>137</v>
      </c>
      <c r="X221" s="3" t="str">
        <f>IFERROR(MID(VLOOKUP($B221,Seqs!$A:$B,2,0),Y221,1),"")</f>
        <v>P</v>
      </c>
      <c r="Y221" s="3">
        <v>138</v>
      </c>
      <c r="Z221" s="3" t="str">
        <f>IFERROR(MID(VLOOKUP($B221,Seqs!$A:$B,2,0),AA221,1),"")</f>
        <v>L</v>
      </c>
      <c r="AA221" s="3">
        <v>145</v>
      </c>
      <c r="AB221" s="3" t="str">
        <f>IFERROR(MID(VLOOKUP($B221,Seqs!$A:$B,2,0),AC221,1),"")</f>
        <v>T</v>
      </c>
      <c r="AC221" s="3">
        <v>146</v>
      </c>
      <c r="AD221" s="3" t="str">
        <f>IFERROR(MID(VLOOKUP($B221,Seqs!$A:$B,2,0),AE221,1),"")</f>
        <v>G</v>
      </c>
      <c r="AE221" s="3">
        <v>171</v>
      </c>
      <c r="AF221" s="3" t="str">
        <f>IFERROR(MID(VLOOKUP($B221,Seqs!$A:$B,2,0),AG221,1),"")</f>
        <v/>
      </c>
      <c r="AG221" s="3" t="s">
        <v>23</v>
      </c>
      <c r="AH221" s="3" t="str">
        <f>IFERROR(MID(VLOOKUP($B221,Seqs!$A:$B,2,0),AI221,1),"")</f>
        <v/>
      </c>
      <c r="AI221" s="3" t="s">
        <v>23</v>
      </c>
      <c r="AJ221" s="3" t="str">
        <f>IFERROR(MID(VLOOKUP($B221,Seqs!$A:$B,2,0),AK221,1),"")</f>
        <v>P</v>
      </c>
      <c r="AK221" s="3">
        <v>187</v>
      </c>
      <c r="AL221" s="3" t="str">
        <f>IFERROR(MID(VLOOKUP($B221,Seqs!$A:$B,2,0),AM221,1),"")</f>
        <v>G</v>
      </c>
      <c r="AM221" s="3">
        <v>225</v>
      </c>
      <c r="AN221" s="3" t="str">
        <f>IFERROR(MID(VLOOKUP($B221,Seqs!$A:$B,2,0),AO221,1),"")</f>
        <v>R</v>
      </c>
      <c r="AO221" s="3">
        <v>238</v>
      </c>
      <c r="AP221" s="3" t="str">
        <f>IFERROR(MID(VLOOKUP($B221,Seqs!$A:$B,2,0),AQ221,1),"")</f>
        <v>T</v>
      </c>
      <c r="AQ221" s="3">
        <v>271</v>
      </c>
      <c r="AR221" s="3" t="str">
        <f>IFERROR(MID(VLOOKUP($B221,Seqs!$A:$B,2,0),AS221,1),"")</f>
        <v>S</v>
      </c>
      <c r="AS221" s="3">
        <v>274</v>
      </c>
      <c r="AT221" s="3" t="str">
        <f>IFERROR(MID(VLOOKUP($B221,Seqs!$A:$B,2,0),AU221,1),"")</f>
        <v>R</v>
      </c>
      <c r="AU221" s="3">
        <v>302</v>
      </c>
      <c r="AV221" s="3" t="str">
        <f>IFERROR(MID(VLOOKUP($B221,Seqs!$A:$B,2,0),AW221,1),"")</f>
        <v>S</v>
      </c>
      <c r="AW221" s="3">
        <v>303</v>
      </c>
      <c r="AX221" s="3" t="str">
        <f>IFERROR(MID(VLOOKUP($B221,Seqs!$A:$B,2,0),AY221,1),"")</f>
        <v>K</v>
      </c>
      <c r="AY221" s="3">
        <v>319</v>
      </c>
      <c r="AZ221" s="77" t="str">
        <f>VLOOKUP(B221,Classification!A:D,2,0)</f>
        <v>A</v>
      </c>
      <c r="BA221" s="94" t="str">
        <f>VLOOKUP(B221,Classification!A:D,4,0)</f>
        <v>Cannabinoid</v>
      </c>
      <c r="BB221" s="27" t="b">
        <f t="shared" ref="BB221" si="1959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" si="1960">_xlfn.AGGREGATE(9,6,CH221:CS221)-_xlfn.AGGREGATE(9,6,BV221:CG221)+12</f>
        <v>257</v>
      </c>
      <c r="BD221" s="2" t="s">
        <v>1371</v>
      </c>
      <c r="BE221" s="3" t="s">
        <v>1287</v>
      </c>
      <c r="BF221" s="118">
        <v>3.2</v>
      </c>
      <c r="BG221" s="49" t="s">
        <v>1418</v>
      </c>
      <c r="BH221" s="49" t="s">
        <v>1418</v>
      </c>
      <c r="BJ221" s="70" t="s">
        <v>1283</v>
      </c>
      <c r="BK221" s="57" t="s">
        <v>1283</v>
      </c>
      <c r="BL221" s="57" t="s">
        <v>1283</v>
      </c>
      <c r="BM221" s="57" t="s">
        <v>1283</v>
      </c>
      <c r="BN221" s="57" t="s">
        <v>1283</v>
      </c>
      <c r="BO221" s="57" t="s">
        <v>1283</v>
      </c>
      <c r="BP221" s="57" t="s">
        <v>1283</v>
      </c>
      <c r="BQ221" s="57" t="s">
        <v>1283</v>
      </c>
      <c r="BR221" s="57" t="s">
        <v>1283</v>
      </c>
      <c r="BS221" s="57" t="s">
        <v>1283</v>
      </c>
      <c r="BT221" s="57" t="s">
        <v>1283</v>
      </c>
      <c r="BU221" s="57" t="s">
        <v>1283</v>
      </c>
      <c r="BV221" s="70">
        <f t="shared" ref="BV221" si="1961">E221</f>
        <v>29</v>
      </c>
      <c r="BW221" s="71">
        <f t="shared" ref="BW221" si="1962">I221</f>
        <v>62</v>
      </c>
      <c r="BX221" s="72">
        <f t="shared" ref="BX221" si="1963">M221</f>
        <v>67</v>
      </c>
      <c r="BY221" s="71" t="str">
        <f t="shared" ref="BY221" si="1964">Q221</f>
        <v>-</v>
      </c>
      <c r="BZ221" s="72">
        <f t="shared" ref="BZ221" si="1965">U221</f>
        <v>102</v>
      </c>
      <c r="CA221" s="71">
        <f t="shared" ref="CA221" si="1966">Y221</f>
        <v>138</v>
      </c>
      <c r="CB221" s="72">
        <f t="shared" ref="CB221" si="1967">AC221</f>
        <v>146</v>
      </c>
      <c r="CC221" s="71" t="str">
        <f t="shared" ref="CC221" si="1968">AG221</f>
        <v>-</v>
      </c>
      <c r="CD221" s="72">
        <f t="shared" ref="CD221" si="1969">AK221</f>
        <v>187</v>
      </c>
      <c r="CE221" s="71">
        <f t="shared" ref="CE221" si="1970">AO221</f>
        <v>238</v>
      </c>
      <c r="CF221" s="72">
        <f t="shared" ref="CF221" si="1971">AS221</f>
        <v>274</v>
      </c>
      <c r="CG221" s="71">
        <f t="shared" ref="CG221" si="1972">AW221</f>
        <v>303</v>
      </c>
      <c r="CH221" s="70">
        <f t="shared" ref="CH221" si="1973">G221</f>
        <v>60</v>
      </c>
      <c r="CI221" s="71">
        <f t="shared" ref="CI221" si="1974">K221</f>
        <v>65</v>
      </c>
      <c r="CJ221" s="72">
        <f t="shared" ref="CJ221" si="1975">O221</f>
        <v>96</v>
      </c>
      <c r="CK221" s="72" t="str">
        <f t="shared" ref="CK221" si="1976">S221</f>
        <v>-</v>
      </c>
      <c r="CL221" s="72">
        <f t="shared" ref="CL221" si="1977">W221</f>
        <v>137</v>
      </c>
      <c r="CM221" s="72">
        <f t="shared" ref="CM221" si="1978">AA221</f>
        <v>145</v>
      </c>
      <c r="CN221" s="72">
        <f t="shared" ref="CN221" si="1979">AE221</f>
        <v>171</v>
      </c>
      <c r="CO221" s="72" t="str">
        <f t="shared" ref="CO221" si="1980">AI221</f>
        <v>-</v>
      </c>
      <c r="CP221" s="72">
        <f t="shared" ref="CP221" si="1981">AM221</f>
        <v>225</v>
      </c>
      <c r="CQ221" s="72">
        <f t="shared" ref="CQ221" si="1982">AQ221</f>
        <v>271</v>
      </c>
      <c r="CR221" s="72">
        <f t="shared" ref="CR221" si="1983">AU221</f>
        <v>302</v>
      </c>
      <c r="CS221" s="72">
        <f t="shared" ref="CS221" si="1984">AY221</f>
        <v>319</v>
      </c>
      <c r="CT221" s="23">
        <f t="shared" ref="CT221" si="1985">M221-K221</f>
        <v>2</v>
      </c>
    </row>
    <row r="222" spans="1:1030" x14ac:dyDescent="0.2">
      <c r="A222" s="3" t="str">
        <f t="shared" si="1231"/>
        <v>cxcr4_human__wt</v>
      </c>
      <c r="B222" s="3" t="s">
        <v>1167</v>
      </c>
      <c r="C222" s="3" t="s">
        <v>100</v>
      </c>
      <c r="D222" s="3" t="str">
        <f>IFERROR(MID(VLOOKUP($B222,Seqs!$A:$B,2,0),E222,1),"")</f>
        <v>R</v>
      </c>
      <c r="E222" s="3">
        <v>30</v>
      </c>
      <c r="F222" s="3" t="str">
        <f>IFERROR(MID(VLOOKUP($B222,Seqs!$A:$B,2,0),G222,1),"")</f>
        <v>Q</v>
      </c>
      <c r="G222" s="3">
        <v>66</v>
      </c>
      <c r="H222" s="3" t="str">
        <f>IFERROR(MID(VLOOKUP($B222,Seqs!$A:$B,2,0),I222,1),"")</f>
        <v>K</v>
      </c>
      <c r="I222" s="23">
        <v>67</v>
      </c>
      <c r="J222" s="3" t="str">
        <f>IFERROR(MID(VLOOKUP($B222,Seqs!$A:$B,2,0),K222,1),"")</f>
        <v>R</v>
      </c>
      <c r="K222" s="23">
        <v>70</v>
      </c>
      <c r="L222" s="3" t="str">
        <f>IFERROR(MID(VLOOKUP($B222,Seqs!$A:$B,2,0),M222,1),"")</f>
        <v>S</v>
      </c>
      <c r="M222" s="3">
        <v>71</v>
      </c>
      <c r="N222" s="3" t="str">
        <f>IFERROR(MID(VLOOKUP($B222,Seqs!$A:$B,2,0),O222,1),"")</f>
        <v>A</v>
      </c>
      <c r="O222" s="3">
        <v>100</v>
      </c>
      <c r="P222" s="3" t="str">
        <f>IFERROR(MID(VLOOKUP($B222,Seqs!$A:$B,2,0),Q222,1),"")</f>
        <v>N</v>
      </c>
      <c r="Q222" s="3">
        <v>101</v>
      </c>
      <c r="R222" s="3" t="str">
        <f>IFERROR(MID(VLOOKUP($B222,Seqs!$A:$B,2,0),S222,1),"")</f>
        <v>F</v>
      </c>
      <c r="S222" s="3">
        <v>104</v>
      </c>
      <c r="T222" s="3" t="str">
        <f>IFERROR(MID(VLOOKUP($B222,Seqs!$A:$B,2,0),U222,1),"")</f>
        <v>G</v>
      </c>
      <c r="U222" s="3">
        <v>105</v>
      </c>
      <c r="V222" s="3" t="str">
        <f>IFERROR(MID(VLOOKUP($B222,Seqs!$A:$B,2,0),W222,1),"")</f>
        <v>H</v>
      </c>
      <c r="W222" s="3">
        <v>140</v>
      </c>
      <c r="X222" s="3" t="str">
        <f>IFERROR(MID(VLOOKUP($B222,Seqs!$A:$B,2,0),Y222,1),"")</f>
        <v>A</v>
      </c>
      <c r="Y222" s="3">
        <v>141</v>
      </c>
      <c r="Z222" s="3" t="str">
        <f>IFERROR(MID(VLOOKUP($B222,Seqs!$A:$B,2,0),AA222,1),"")</f>
        <v>R</v>
      </c>
      <c r="AA222" s="3">
        <v>148</v>
      </c>
      <c r="AB222" s="3" t="str">
        <f>IFERROR(MID(VLOOKUP($B222,Seqs!$A:$B,2,0),AC222,1),"")</f>
        <v>K</v>
      </c>
      <c r="AC222" s="3">
        <v>149</v>
      </c>
      <c r="AD222" s="3" t="str">
        <f>IFERROR(MID(VLOOKUP($B222,Seqs!$A:$B,2,0),AE222,1),"")</f>
        <v>A</v>
      </c>
      <c r="AE222" s="3">
        <v>175</v>
      </c>
      <c r="AF222" s="3" t="str">
        <f>IFERROR(MID(VLOOKUP($B222,Seqs!$A:$B,2,0),AG222,1),"")</f>
        <v>C</v>
      </c>
      <c r="AG222" s="3">
        <v>186</v>
      </c>
      <c r="AH222" s="3" t="str">
        <f>IFERROR(MID(VLOOKUP($B222,Seqs!$A:$B,2,0),AI222,1),"")</f>
        <v>R</v>
      </c>
      <c r="AI222" s="3">
        <v>188</v>
      </c>
      <c r="AJ222" s="3" t="str">
        <f>IFERROR(MID(VLOOKUP($B222,Seqs!$A:$B,2,0),AK222,1),"")</f>
        <v>D</v>
      </c>
      <c r="AK222" s="3">
        <v>193</v>
      </c>
      <c r="AL222" s="3" t="str">
        <f>IFERROR(MID(VLOOKUP($B222,Seqs!$A:$B,2,0),AM222,1),"")</f>
        <v>S</v>
      </c>
      <c r="AM222" s="3">
        <v>229</v>
      </c>
      <c r="AN222" s="3" t="str">
        <f>IFERROR(MID(VLOOKUP($B222,Seqs!$A:$B,2,0),AO222,1),"")</f>
        <v>K</v>
      </c>
      <c r="AO222" s="3">
        <v>234</v>
      </c>
      <c r="AP222" s="3" t="str">
        <f>IFERROR(MID(VLOOKUP($B222,Seqs!$A:$B,2,0),AQ222,1),"")</f>
        <v>E</v>
      </c>
      <c r="AQ222" s="3">
        <v>268</v>
      </c>
      <c r="AR222" s="3" t="str">
        <f>IFERROR(MID(VLOOKUP($B222,Seqs!$A:$B,2,0),AS222,1),"")</f>
        <v>G</v>
      </c>
      <c r="AS222" s="3">
        <v>273</v>
      </c>
      <c r="AT222" s="3" t="str">
        <f>IFERROR(MID(VLOOKUP($B222,Seqs!$A:$B,2,0),AU222,1),"")</f>
        <v>L</v>
      </c>
      <c r="AU222" s="3">
        <v>305</v>
      </c>
      <c r="AV222" s="3" t="str">
        <f>IFERROR(MID(VLOOKUP($B222,Seqs!$A:$B,2,0),AW222,1),"")</f>
        <v>G</v>
      </c>
      <c r="AW222" s="3">
        <v>306</v>
      </c>
      <c r="AX222" s="3" t="str">
        <f>IFERROR(MID(VLOOKUP($B222,Seqs!$A:$B,2,0),AY222,1),"")</f>
        <v>T</v>
      </c>
      <c r="AY222" s="3">
        <v>318</v>
      </c>
      <c r="AZ222" s="77" t="str">
        <f>VLOOKUP(B222,Classification!A:D,2,0)</f>
        <v>A</v>
      </c>
      <c r="BA222" s="94" t="str">
        <f>VLOOKUP(B222,Classification!A:D,4,0)</f>
        <v>Chemokine</v>
      </c>
      <c r="BB222" s="27" t="b">
        <f t="shared" si="1232"/>
        <v>1</v>
      </c>
      <c r="BC222" s="23">
        <f t="shared" ref="BC222:BC231" si="1986">_xlfn.AGGREGATE(9,6,CH222:CS222)-_xlfn.AGGREGATE(9,6,BV222:CG222)+12</f>
        <v>267</v>
      </c>
      <c r="BD222" s="34" t="s">
        <v>23</v>
      </c>
      <c r="BE222" s="3" t="s">
        <v>23</v>
      </c>
      <c r="BF222" s="118" t="s">
        <v>23</v>
      </c>
      <c r="BG222" s="49" t="s">
        <v>1368</v>
      </c>
      <c r="BH222" s="49" t="s">
        <v>1373</v>
      </c>
      <c r="BI222" s="1"/>
      <c r="BJ222" s="70" t="s">
        <v>1283</v>
      </c>
      <c r="BK222" s="57" t="s">
        <v>1283</v>
      </c>
      <c r="BL222" s="57" t="s">
        <v>1283</v>
      </c>
      <c r="BM222" s="57" t="s">
        <v>1283</v>
      </c>
      <c r="BN222" s="57" t="s">
        <v>1283</v>
      </c>
      <c r="BO222" s="57" t="s">
        <v>1283</v>
      </c>
      <c r="BP222" s="57" t="s">
        <v>1283</v>
      </c>
      <c r="BQ222" s="57" t="s">
        <v>1283</v>
      </c>
      <c r="BR222" s="57" t="s">
        <v>1283</v>
      </c>
      <c r="BS222" s="57" t="s">
        <v>1283</v>
      </c>
      <c r="BT222" s="57" t="s">
        <v>1283</v>
      </c>
      <c r="BU222" s="57" t="s">
        <v>1283</v>
      </c>
      <c r="BV222" s="70">
        <f t="shared" ref="BV222:BV231" si="1987">E222</f>
        <v>30</v>
      </c>
      <c r="BW222" s="71">
        <f t="shared" ref="BW222:BW231" si="1988">I222</f>
        <v>67</v>
      </c>
      <c r="BX222" s="72">
        <f t="shared" ref="BX222:BX231" si="1989">M222</f>
        <v>71</v>
      </c>
      <c r="BY222" s="71">
        <f t="shared" ref="BY222:BY231" si="1990">Q222</f>
        <v>101</v>
      </c>
      <c r="BZ222" s="72">
        <f t="shared" ref="BZ222:BZ231" si="1991">U222</f>
        <v>105</v>
      </c>
      <c r="CA222" s="71">
        <f t="shared" ref="CA222:CA231" si="1992">Y222</f>
        <v>141</v>
      </c>
      <c r="CB222" s="72">
        <f t="shared" ref="CB222:CB231" si="1993">AC222</f>
        <v>149</v>
      </c>
      <c r="CC222" s="71">
        <f t="shared" ref="CC222:CC231" si="1994">AG222</f>
        <v>186</v>
      </c>
      <c r="CD222" s="72">
        <f t="shared" ref="CD222:CD231" si="1995">AK222</f>
        <v>193</v>
      </c>
      <c r="CE222" s="71">
        <f t="shared" ref="CE222:CE231" si="1996">AO222</f>
        <v>234</v>
      </c>
      <c r="CF222" s="72">
        <f t="shared" ref="CF222:CF231" si="1997">AS222</f>
        <v>273</v>
      </c>
      <c r="CG222" s="71">
        <f t="shared" ref="CG222:CG231" si="1998">AW222</f>
        <v>306</v>
      </c>
      <c r="CH222" s="70">
        <f t="shared" ref="CH222:CH231" si="1999">G222</f>
        <v>66</v>
      </c>
      <c r="CI222" s="71">
        <f t="shared" ref="CI222:CI231" si="2000">K222</f>
        <v>70</v>
      </c>
      <c r="CJ222" s="72">
        <f t="shared" ref="CJ222:CJ231" si="2001">O222</f>
        <v>100</v>
      </c>
      <c r="CK222" s="72">
        <f t="shared" ref="CK222:CK231" si="2002">S222</f>
        <v>104</v>
      </c>
      <c r="CL222" s="72">
        <f t="shared" ref="CL222:CL231" si="2003">W222</f>
        <v>140</v>
      </c>
      <c r="CM222" s="72">
        <f t="shared" ref="CM222:CM231" si="2004">AA222</f>
        <v>148</v>
      </c>
      <c r="CN222" s="72">
        <f t="shared" ref="CN222:CN231" si="2005">AE222</f>
        <v>175</v>
      </c>
      <c r="CO222" s="72">
        <f t="shared" ref="CO222:CO231" si="2006">AI222</f>
        <v>188</v>
      </c>
      <c r="CP222" s="72">
        <f t="shared" ref="CP222:CP231" si="2007">AM222</f>
        <v>229</v>
      </c>
      <c r="CQ222" s="72">
        <f t="shared" ref="CQ222:CQ231" si="2008">AQ222</f>
        <v>268</v>
      </c>
      <c r="CR222" s="72">
        <f t="shared" ref="CR222:CR231" si="2009">AU222</f>
        <v>305</v>
      </c>
      <c r="CS222" s="72">
        <f t="shared" ref="CS222:CS231" si="2010">AY222</f>
        <v>318</v>
      </c>
      <c r="CT222" s="23">
        <f t="shared" ref="CT222:CT231" si="2011">M222-K222</f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231"/>
        <v>cxcr4_human_3ODU</v>
      </c>
      <c r="B223" s="3" t="s">
        <v>1167</v>
      </c>
      <c r="C223" s="3" t="s">
        <v>63</v>
      </c>
      <c r="D223" s="3" t="str">
        <f>IFERROR(MID(VLOOKUP($B223,Seqs!$A:$B,2,0),E223,1),"")</f>
        <v>A</v>
      </c>
      <c r="E223" s="3">
        <v>34</v>
      </c>
      <c r="F223" s="3" t="str">
        <f>IFERROR(MID(VLOOKUP($B223,Seqs!$A:$B,2,0),G223,1),"")</f>
        <v>Q</v>
      </c>
      <c r="G223" s="3">
        <v>66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71</v>
      </c>
      <c r="N223" s="3" t="str">
        <f>IFERROR(MID(VLOOKUP($B223,Seqs!$A:$B,2,0),O223,1),"")</f>
        <v>A</v>
      </c>
      <c r="O223" s="3">
        <v>100</v>
      </c>
      <c r="P223" s="3" t="str">
        <f>IFERROR(MID(VLOOKUP($B223,Seqs!$A:$B,2,0),Q223,1),"")</f>
        <v>N</v>
      </c>
      <c r="Q223" s="3">
        <v>101</v>
      </c>
      <c r="R223" s="3" t="str">
        <f>IFERROR(MID(VLOOKUP($B223,Seqs!$A:$B,2,0),S223,1),"")</f>
        <v>F</v>
      </c>
      <c r="S223" s="3">
        <v>104</v>
      </c>
      <c r="T223" s="3" t="str">
        <f>IFERROR(MID(VLOOKUP($B223,Seqs!$A:$B,2,0),U223,1),"")</f>
        <v>G</v>
      </c>
      <c r="U223" s="3">
        <v>105</v>
      </c>
      <c r="V223" s="3" t="str">
        <f>IFERROR(MID(VLOOKUP($B223,Seqs!$A:$B,2,0),W223,1),"")</f>
        <v>H</v>
      </c>
      <c r="W223" s="3">
        <v>140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S</v>
      </c>
      <c r="AC223" s="3">
        <v>144</v>
      </c>
      <c r="AD223" s="3" t="str">
        <f>IFERROR(MID(VLOOKUP($B223,Seqs!$A:$B,2,0),AE223,1),"")</f>
        <v>A</v>
      </c>
      <c r="AE223" s="3">
        <v>175</v>
      </c>
      <c r="AF223" s="3" t="str">
        <f>IFERROR(MID(VLOOKUP($B223,Seqs!$A:$B,2,0),AG223,1),"")</f>
        <v>C</v>
      </c>
      <c r="AG223" s="3">
        <v>186</v>
      </c>
      <c r="AH223" s="3" t="str">
        <f>IFERROR(MID(VLOOKUP($B223,Seqs!$A:$B,2,0),AI223,1),"")</f>
        <v>R</v>
      </c>
      <c r="AI223" s="3">
        <v>188</v>
      </c>
      <c r="AJ223" s="3" t="str">
        <f>IFERROR(MID(VLOOKUP($B223,Seqs!$A:$B,2,0),AK223,1),"")</f>
        <v>D</v>
      </c>
      <c r="AK223" s="3">
        <v>193</v>
      </c>
      <c r="AL223" s="3" t="str">
        <f>IFERROR(MID(VLOOKUP($B223,Seqs!$A:$B,2,0),AM223,1),"")</f>
        <v>K</v>
      </c>
      <c r="AM223" s="3">
        <v>225</v>
      </c>
      <c r="AN223" s="3" t="str">
        <f>IFERROR(MID(VLOOKUP($B223,Seqs!$A:$B,2,0),AO223,1),"")</f>
        <v>G</v>
      </c>
      <c r="AO223" s="3">
        <v>231</v>
      </c>
      <c r="AP223" s="3" t="str">
        <f>IFERROR(MID(VLOOKUP($B223,Seqs!$A:$B,2,0),AQ223,1),"")</f>
        <v>E</v>
      </c>
      <c r="AQ223" s="3">
        <v>268</v>
      </c>
      <c r="AR223" s="3" t="str">
        <f>IFERROR(MID(VLOOKUP($B223,Seqs!$A:$B,2,0),AS223,1),"")</f>
        <v>G</v>
      </c>
      <c r="AS223" s="3">
        <v>273</v>
      </c>
      <c r="AT223" s="3" t="str">
        <f>IFERROR(MID(VLOOKUP($B223,Seqs!$A:$B,2,0),AU223,1),"")</f>
        <v>I</v>
      </c>
      <c r="AU223" s="3">
        <v>300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Chemokine</v>
      </c>
      <c r="BB223" s="27" t="b">
        <f t="shared" si="1232"/>
        <v>1</v>
      </c>
      <c r="BC223" s="23">
        <f t="shared" si="1986"/>
        <v>240</v>
      </c>
      <c r="BD223" s="2" t="s">
        <v>1372</v>
      </c>
      <c r="BE223" s="3" t="s">
        <v>1370</v>
      </c>
      <c r="BF223" s="118">
        <v>2.5</v>
      </c>
      <c r="BG223" s="49" t="s">
        <v>1373</v>
      </c>
      <c r="BH223" s="49" t="s">
        <v>1373</v>
      </c>
      <c r="BI223" s="1"/>
      <c r="BJ223" s="70" t="s">
        <v>1283</v>
      </c>
      <c r="BK223" s="57" t="s">
        <v>1283</v>
      </c>
      <c r="BL223" s="57" t="s">
        <v>1283</v>
      </c>
      <c r="BM223" s="57" t="s">
        <v>1283</v>
      </c>
      <c r="BN223" s="57" t="s">
        <v>1283</v>
      </c>
      <c r="BO223" s="57" t="s">
        <v>1283</v>
      </c>
      <c r="BP223" s="57" t="s">
        <v>1283</v>
      </c>
      <c r="BQ223" s="57" t="s">
        <v>1283</v>
      </c>
      <c r="BR223" s="57" t="s">
        <v>1283</v>
      </c>
      <c r="BS223" s="57" t="s">
        <v>1283</v>
      </c>
      <c r="BT223" s="57" t="s">
        <v>1283</v>
      </c>
      <c r="BU223" s="57" t="s">
        <v>1283</v>
      </c>
      <c r="BV223" s="70">
        <f t="shared" si="1987"/>
        <v>34</v>
      </c>
      <c r="BW223" s="71" t="str">
        <f t="shared" si="1988"/>
        <v>-</v>
      </c>
      <c r="BX223" s="72">
        <f t="shared" si="1989"/>
        <v>71</v>
      </c>
      <c r="BY223" s="71">
        <f t="shared" si="1990"/>
        <v>101</v>
      </c>
      <c r="BZ223" s="72">
        <f t="shared" si="1991"/>
        <v>105</v>
      </c>
      <c r="CA223" s="71" t="str">
        <f t="shared" si="1992"/>
        <v>-</v>
      </c>
      <c r="CB223" s="72">
        <f t="shared" si="1993"/>
        <v>144</v>
      </c>
      <c r="CC223" s="71">
        <f t="shared" si="1994"/>
        <v>186</v>
      </c>
      <c r="CD223" s="72">
        <f t="shared" si="1995"/>
        <v>193</v>
      </c>
      <c r="CE223" s="71">
        <f t="shared" si="1996"/>
        <v>231</v>
      </c>
      <c r="CF223" s="72">
        <f t="shared" si="1997"/>
        <v>273</v>
      </c>
      <c r="CG223" s="71" t="str">
        <f t="shared" si="1998"/>
        <v>-</v>
      </c>
      <c r="CH223" s="70">
        <f t="shared" si="1999"/>
        <v>66</v>
      </c>
      <c r="CI223" s="71" t="str">
        <f t="shared" si="2000"/>
        <v>-</v>
      </c>
      <c r="CJ223" s="72">
        <f t="shared" si="2001"/>
        <v>100</v>
      </c>
      <c r="CK223" s="72">
        <f t="shared" si="2002"/>
        <v>104</v>
      </c>
      <c r="CL223" s="72">
        <f t="shared" si="2003"/>
        <v>140</v>
      </c>
      <c r="CM223" s="72" t="str">
        <f t="shared" si="2004"/>
        <v>-</v>
      </c>
      <c r="CN223" s="72">
        <f t="shared" si="2005"/>
        <v>175</v>
      </c>
      <c r="CO223" s="72">
        <f t="shared" si="2006"/>
        <v>188</v>
      </c>
      <c r="CP223" s="72">
        <f t="shared" si="2007"/>
        <v>225</v>
      </c>
      <c r="CQ223" s="72">
        <f t="shared" si="2008"/>
        <v>268</v>
      </c>
      <c r="CR223" s="72">
        <f t="shared" si="2009"/>
        <v>300</v>
      </c>
      <c r="CS223" s="72" t="str">
        <f t="shared" si="2010"/>
        <v>-</v>
      </c>
      <c r="CT223" s="23" t="e">
        <f t="shared" si="2011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231"/>
        <v>cxcr4_human_3OE0</v>
      </c>
      <c r="B224" s="3" t="s">
        <v>1167</v>
      </c>
      <c r="C224" s="3" t="s">
        <v>1027</v>
      </c>
      <c r="D224" s="3" t="str">
        <f>IFERROR(MID(VLOOKUP($B224,Seqs!$A:$B,2,0),E224,1),"")</f>
        <v>A</v>
      </c>
      <c r="E224" s="3">
        <v>34</v>
      </c>
      <c r="F224" s="3" t="str">
        <f>IFERROR(MID(VLOOKUP($B224,Seqs!$A:$B,2,0),G224,1),"")</f>
        <v>Q</v>
      </c>
      <c r="G224" s="3">
        <v>66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71</v>
      </c>
      <c r="N224" s="3" t="str">
        <f>IFERROR(MID(VLOOKUP($B224,Seqs!$A:$B,2,0),O224,1),"")</f>
        <v>A</v>
      </c>
      <c r="O224" s="3">
        <v>100</v>
      </c>
      <c r="P224" s="3" t="str">
        <f>IFERROR(MID(VLOOKUP($B224,Seqs!$A:$B,2,0),Q224,1),"")</f>
        <v>N</v>
      </c>
      <c r="Q224" s="3">
        <v>101</v>
      </c>
      <c r="R224" s="3" t="str">
        <f>IFERROR(MID(VLOOKUP($B224,Seqs!$A:$B,2,0),S224,1),"")</f>
        <v>F</v>
      </c>
      <c r="S224" s="3">
        <v>104</v>
      </c>
      <c r="T224" s="3" t="str">
        <f>IFERROR(MID(VLOOKUP($B224,Seqs!$A:$B,2,0),U224,1),"")</f>
        <v>G</v>
      </c>
      <c r="U224" s="3">
        <v>105</v>
      </c>
      <c r="V224" s="3" t="str">
        <f>IFERROR(MID(VLOOKUP($B224,Seqs!$A:$B,2,0),W224,1),"")</f>
        <v>H</v>
      </c>
      <c r="W224" s="3">
        <v>140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3">
        <v>144</v>
      </c>
      <c r="AD224" s="3" t="str">
        <f>IFERROR(MID(VLOOKUP($B224,Seqs!$A:$B,2,0),AE224,1),"")</f>
        <v>A</v>
      </c>
      <c r="AE224" s="3">
        <v>175</v>
      </c>
      <c r="AF224" s="3" t="str">
        <f>IFERROR(MID(VLOOKUP($B224,Seqs!$A:$B,2,0),AG224,1),"")</f>
        <v>C</v>
      </c>
      <c r="AG224" s="3">
        <v>186</v>
      </c>
      <c r="AH224" s="3" t="str">
        <f>IFERROR(MID(VLOOKUP($B224,Seqs!$A:$B,2,0),AI224,1),"")</f>
        <v>R</v>
      </c>
      <c r="AI224" s="3">
        <v>188</v>
      </c>
      <c r="AJ224" s="3" t="str">
        <f>IFERROR(MID(VLOOKUP($B224,Seqs!$A:$B,2,0),AK224,1),"")</f>
        <v>D</v>
      </c>
      <c r="AK224" s="3">
        <v>193</v>
      </c>
      <c r="AL224" s="3" t="str">
        <f>IFERROR(MID(VLOOKUP($B224,Seqs!$A:$B,2,0),AM224,1),"")</f>
        <v>H</v>
      </c>
      <c r="AM224" s="3">
        <v>228</v>
      </c>
      <c r="AN224" s="3" t="str">
        <f>IFERROR(MID(VLOOKUP($B224,Seqs!$A:$B,2,0),AO224,1),"")</f>
        <v>K</v>
      </c>
      <c r="AO224" s="3">
        <v>239</v>
      </c>
      <c r="AP224" s="3" t="str">
        <f>IFERROR(MID(VLOOKUP($B224,Seqs!$A:$B,2,0),AQ224,1),"")</f>
        <v>E</v>
      </c>
      <c r="AQ224" s="3">
        <v>268</v>
      </c>
      <c r="AR224" s="3" t="str">
        <f>IFERROR(MID(VLOOKUP($B224,Seqs!$A:$B,2,0),AS224,1),"")</f>
        <v>G</v>
      </c>
      <c r="AS224" s="3">
        <v>273</v>
      </c>
      <c r="AT224" s="3" t="str">
        <f>IFERROR(MID(VLOOKUP($B224,Seqs!$A:$B,2,0),AU224,1),"")</f>
        <v>I</v>
      </c>
      <c r="AU224" s="3">
        <v>300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7" t="str">
        <f>VLOOKUP(B224,Classification!A:D,2,0)</f>
        <v>A</v>
      </c>
      <c r="BA224" s="94" t="str">
        <f>VLOOKUP(B224,Classification!A:D,4,0)</f>
        <v>Chemokine</v>
      </c>
      <c r="BB224" s="27" t="b">
        <f t="shared" si="1232"/>
        <v>1</v>
      </c>
      <c r="BC224" s="23">
        <f t="shared" si="1986"/>
        <v>235</v>
      </c>
      <c r="BD224" s="4" t="s">
        <v>23</v>
      </c>
      <c r="BE224" s="3" t="s">
        <v>1370</v>
      </c>
      <c r="BF224" s="118">
        <v>2.9</v>
      </c>
      <c r="BG224" s="49" t="s">
        <v>1373</v>
      </c>
      <c r="BH224" s="49" t="s">
        <v>1373</v>
      </c>
      <c r="BI224" s="1"/>
      <c r="BJ224" s="70" t="s">
        <v>1283</v>
      </c>
      <c r="BK224" s="57" t="s">
        <v>1283</v>
      </c>
      <c r="BL224" s="57" t="s">
        <v>1283</v>
      </c>
      <c r="BM224" s="57" t="s">
        <v>1283</v>
      </c>
      <c r="BN224" s="57" t="s">
        <v>1283</v>
      </c>
      <c r="BO224" s="57" t="s">
        <v>1283</v>
      </c>
      <c r="BP224" s="57" t="s">
        <v>1283</v>
      </c>
      <c r="BQ224" s="57" t="s">
        <v>1283</v>
      </c>
      <c r="BR224" s="57" t="s">
        <v>1283</v>
      </c>
      <c r="BS224" s="57" t="s">
        <v>1283</v>
      </c>
      <c r="BT224" s="57" t="s">
        <v>1283</v>
      </c>
      <c r="BU224" s="57" t="s">
        <v>1283</v>
      </c>
      <c r="BV224" s="70">
        <f t="shared" si="1987"/>
        <v>34</v>
      </c>
      <c r="BW224" s="71" t="str">
        <f t="shared" si="1988"/>
        <v>-</v>
      </c>
      <c r="BX224" s="72">
        <f t="shared" si="1989"/>
        <v>71</v>
      </c>
      <c r="BY224" s="71">
        <f t="shared" si="1990"/>
        <v>101</v>
      </c>
      <c r="BZ224" s="72">
        <f t="shared" si="1991"/>
        <v>105</v>
      </c>
      <c r="CA224" s="71" t="str">
        <f t="shared" si="1992"/>
        <v>-</v>
      </c>
      <c r="CB224" s="72">
        <f t="shared" si="1993"/>
        <v>144</v>
      </c>
      <c r="CC224" s="71">
        <f t="shared" si="1994"/>
        <v>186</v>
      </c>
      <c r="CD224" s="72">
        <f t="shared" si="1995"/>
        <v>193</v>
      </c>
      <c r="CE224" s="71">
        <f t="shared" si="1996"/>
        <v>239</v>
      </c>
      <c r="CF224" s="72">
        <f t="shared" si="1997"/>
        <v>273</v>
      </c>
      <c r="CG224" s="71" t="str">
        <f t="shared" si="1998"/>
        <v>-</v>
      </c>
      <c r="CH224" s="70">
        <f t="shared" si="1999"/>
        <v>66</v>
      </c>
      <c r="CI224" s="71" t="str">
        <f t="shared" si="2000"/>
        <v>-</v>
      </c>
      <c r="CJ224" s="72">
        <f t="shared" si="2001"/>
        <v>100</v>
      </c>
      <c r="CK224" s="72">
        <f t="shared" si="2002"/>
        <v>104</v>
      </c>
      <c r="CL224" s="72">
        <f t="shared" si="2003"/>
        <v>140</v>
      </c>
      <c r="CM224" s="72" t="str">
        <f t="shared" si="2004"/>
        <v>-</v>
      </c>
      <c r="CN224" s="72">
        <f t="shared" si="2005"/>
        <v>175</v>
      </c>
      <c r="CO224" s="72">
        <f t="shared" si="2006"/>
        <v>188</v>
      </c>
      <c r="CP224" s="72">
        <f t="shared" si="2007"/>
        <v>228</v>
      </c>
      <c r="CQ224" s="72">
        <f t="shared" si="2008"/>
        <v>268</v>
      </c>
      <c r="CR224" s="72">
        <f t="shared" si="2009"/>
        <v>300</v>
      </c>
      <c r="CS224" s="72" t="str">
        <f t="shared" si="2010"/>
        <v>-</v>
      </c>
      <c r="CT224" s="23" t="e">
        <f t="shared" si="2011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231"/>
        <v>cxcr4_human_4RWS</v>
      </c>
      <c r="B225" s="3" t="s">
        <v>1167</v>
      </c>
      <c r="C225" s="3" t="s">
        <v>1048</v>
      </c>
      <c r="D225" s="3" t="str">
        <f>IFERROR(MID(VLOOKUP($B225,Seqs!$A:$B,2,0),E225,1),"")</f>
        <v>R</v>
      </c>
      <c r="E225" s="3">
        <v>30</v>
      </c>
      <c r="F225" s="3" t="str">
        <f>IFERROR(MID(VLOOKUP($B225,Seqs!$A:$B,2,0),G225,1),"")</f>
        <v>Q</v>
      </c>
      <c r="G225" s="3">
        <v>66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S</v>
      </c>
      <c r="M225" s="3">
        <v>71</v>
      </c>
      <c r="N225" s="3" t="str">
        <f>IFERROR(MID(VLOOKUP($B225,Seqs!$A:$B,2,0),O225,1),"")</f>
        <v>A</v>
      </c>
      <c r="O225" s="3">
        <v>100</v>
      </c>
      <c r="P225" s="3" t="str">
        <f>IFERROR(MID(VLOOKUP($B225,Seqs!$A:$B,2,0),Q225,1),"")</f>
        <v>N</v>
      </c>
      <c r="Q225" s="3">
        <v>101</v>
      </c>
      <c r="R225" s="3" t="str">
        <f>IFERROR(MID(VLOOKUP($B225,Seqs!$A:$B,2,0),S225,1),"")</f>
        <v>F</v>
      </c>
      <c r="S225" s="3">
        <v>104</v>
      </c>
      <c r="T225" s="3" t="str">
        <f>IFERROR(MID(VLOOKUP($B225,Seqs!$A:$B,2,0),U225,1),"")</f>
        <v>G</v>
      </c>
      <c r="U225" s="3">
        <v>105</v>
      </c>
      <c r="V225" s="3" t="str">
        <f>IFERROR(MID(VLOOKUP($B225,Seqs!$A:$B,2,0),W225,1),"")</f>
        <v>H</v>
      </c>
      <c r="W225" s="3">
        <v>140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S</v>
      </c>
      <c r="AC225" s="3">
        <v>144</v>
      </c>
      <c r="AD225" s="3" t="str">
        <f>IFERROR(MID(VLOOKUP($B225,Seqs!$A:$B,2,0),AE225,1),"")</f>
        <v>A</v>
      </c>
      <c r="AE225" s="3">
        <v>175</v>
      </c>
      <c r="AF225" s="3" t="str">
        <f>IFERROR(MID(VLOOKUP($B225,Seqs!$A:$B,2,0),AG225,1),"")</f>
        <v>C</v>
      </c>
      <c r="AG225" s="3">
        <v>186</v>
      </c>
      <c r="AH225" s="3" t="str">
        <f>IFERROR(MID(VLOOKUP($B225,Seqs!$A:$B,2,0),AI225,1),"")</f>
        <v>R</v>
      </c>
      <c r="AI225" s="3">
        <v>188</v>
      </c>
      <c r="AJ225" s="3" t="str">
        <f>IFERROR(MID(VLOOKUP($B225,Seqs!$A:$B,2,0),AK225,1),"")</f>
        <v>D</v>
      </c>
      <c r="AK225" s="3">
        <v>193</v>
      </c>
      <c r="AL225" s="3" t="str">
        <f>IFERROR(MID(VLOOKUP($B225,Seqs!$A:$B,2,0),AM225,1),"")</f>
        <v>S</v>
      </c>
      <c r="AM225" s="3">
        <v>227</v>
      </c>
      <c r="AN225" s="3" t="str">
        <f>IFERROR(MID(VLOOKUP($B225,Seqs!$A:$B,2,0),AO225,1),"")</f>
        <v>K</v>
      </c>
      <c r="AO225" s="3">
        <v>239</v>
      </c>
      <c r="AP225" s="3" t="str">
        <f>IFERROR(MID(VLOOKUP($B225,Seqs!$A:$B,2,0),AQ225,1),"")</f>
        <v>E</v>
      </c>
      <c r="AQ225" s="3">
        <v>268</v>
      </c>
      <c r="AR225" s="3" t="str">
        <f>IFERROR(MID(VLOOKUP($B225,Seqs!$A:$B,2,0),AS225,1),"")</f>
        <v>G</v>
      </c>
      <c r="AS225" s="3">
        <v>273</v>
      </c>
      <c r="AT225" s="3" t="str">
        <f>IFERROR(MID(VLOOKUP($B225,Seqs!$A:$B,2,0),AU225,1),"")</f>
        <v>I</v>
      </c>
      <c r="AU225" s="3">
        <v>300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Chemokine</v>
      </c>
      <c r="BB225" s="27" t="b">
        <f t="shared" si="1232"/>
        <v>1</v>
      </c>
      <c r="BC225" s="23">
        <f t="shared" si="1986"/>
        <v>238</v>
      </c>
      <c r="BD225" s="5" t="s">
        <v>23</v>
      </c>
      <c r="BE225" s="3" t="s">
        <v>1370</v>
      </c>
      <c r="BF225" s="118">
        <v>3.1</v>
      </c>
      <c r="BG225" s="49" t="s">
        <v>1373</v>
      </c>
      <c r="BH225" s="49" t="s">
        <v>1373</v>
      </c>
      <c r="BI225" s="1"/>
      <c r="BJ225" s="70" t="s">
        <v>1283</v>
      </c>
      <c r="BK225" s="57" t="s">
        <v>1283</v>
      </c>
      <c r="BL225" s="57" t="s">
        <v>1283</v>
      </c>
      <c r="BM225" s="57" t="s">
        <v>1283</v>
      </c>
      <c r="BN225" s="57" t="s">
        <v>1283</v>
      </c>
      <c r="BO225" s="57" t="s">
        <v>1283</v>
      </c>
      <c r="BP225" s="57" t="s">
        <v>1283</v>
      </c>
      <c r="BQ225" s="57" t="s">
        <v>1283</v>
      </c>
      <c r="BR225" s="57" t="s">
        <v>1283</v>
      </c>
      <c r="BS225" s="57" t="s">
        <v>1283</v>
      </c>
      <c r="BT225" s="57" t="s">
        <v>1283</v>
      </c>
      <c r="BU225" s="57" t="s">
        <v>1283</v>
      </c>
      <c r="BV225" s="70">
        <f t="shared" si="1987"/>
        <v>30</v>
      </c>
      <c r="BW225" s="71" t="str">
        <f t="shared" si="1988"/>
        <v>-</v>
      </c>
      <c r="BX225" s="72">
        <f t="shared" si="1989"/>
        <v>71</v>
      </c>
      <c r="BY225" s="71">
        <f t="shared" si="1990"/>
        <v>101</v>
      </c>
      <c r="BZ225" s="72">
        <f t="shared" si="1991"/>
        <v>105</v>
      </c>
      <c r="CA225" s="71" t="str">
        <f t="shared" si="1992"/>
        <v>-</v>
      </c>
      <c r="CB225" s="72">
        <f t="shared" si="1993"/>
        <v>144</v>
      </c>
      <c r="CC225" s="71">
        <f t="shared" si="1994"/>
        <v>186</v>
      </c>
      <c r="CD225" s="72">
        <f t="shared" si="1995"/>
        <v>193</v>
      </c>
      <c r="CE225" s="71">
        <f t="shared" si="1996"/>
        <v>239</v>
      </c>
      <c r="CF225" s="72">
        <f t="shared" si="1997"/>
        <v>273</v>
      </c>
      <c r="CG225" s="71" t="str">
        <f t="shared" si="1998"/>
        <v>-</v>
      </c>
      <c r="CH225" s="70">
        <f t="shared" si="1999"/>
        <v>66</v>
      </c>
      <c r="CI225" s="71" t="str">
        <f t="shared" si="2000"/>
        <v>-</v>
      </c>
      <c r="CJ225" s="72">
        <f t="shared" si="2001"/>
        <v>100</v>
      </c>
      <c r="CK225" s="72">
        <f t="shared" si="2002"/>
        <v>104</v>
      </c>
      <c r="CL225" s="72">
        <f t="shared" si="2003"/>
        <v>140</v>
      </c>
      <c r="CM225" s="72" t="str">
        <f t="shared" si="2004"/>
        <v>-</v>
      </c>
      <c r="CN225" s="72">
        <f t="shared" si="2005"/>
        <v>175</v>
      </c>
      <c r="CO225" s="72">
        <f t="shared" si="2006"/>
        <v>188</v>
      </c>
      <c r="CP225" s="72">
        <f t="shared" si="2007"/>
        <v>227</v>
      </c>
      <c r="CQ225" s="72">
        <f t="shared" si="2008"/>
        <v>268</v>
      </c>
      <c r="CR225" s="72">
        <f t="shared" si="2009"/>
        <v>300</v>
      </c>
      <c r="CS225" s="72" t="str">
        <f t="shared" si="2010"/>
        <v>-</v>
      </c>
      <c r="CT225" s="23" t="e">
        <f t="shared" si="2011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>CONCATENATE(B226,"_",C226)</f>
        <v>drd2_human__wt</v>
      </c>
      <c r="B226" s="3" t="s">
        <v>191</v>
      </c>
      <c r="C226" s="3" t="s">
        <v>100</v>
      </c>
      <c r="D226" s="3" t="str">
        <f>IFERROR(MID(VLOOKUP($B226,Seqs!$A:$B,2,0),E226,1),"")</f>
        <v>R</v>
      </c>
      <c r="E226" s="3">
        <v>31</v>
      </c>
      <c r="F226" s="3" t="str">
        <f>IFERROR(MID(VLOOKUP($B226,Seqs!$A:$B,2,0),G226,1),"")</f>
        <v>E</v>
      </c>
      <c r="G226" s="3">
        <v>62</v>
      </c>
      <c r="H226" s="3" t="str">
        <f>IFERROR(MID(VLOOKUP($B226,Seqs!$A:$B,2,0),I226,1),"")</f>
        <v>K</v>
      </c>
      <c r="I226" s="23">
        <v>63</v>
      </c>
      <c r="J226" s="3" t="str">
        <f>IFERROR(MID(VLOOKUP($B226,Seqs!$A:$B,2,0),K226,1),"")</f>
        <v>Q</v>
      </c>
      <c r="K226" s="23">
        <v>66</v>
      </c>
      <c r="L226" s="3" t="str">
        <f>IFERROR(MID(VLOOKUP($B226,Seqs!$A:$B,2,0),M226,1),"")</f>
        <v>T</v>
      </c>
      <c r="M226" s="3">
        <v>67</v>
      </c>
      <c r="N226" s="3" t="str">
        <f>IFERROR(MID(VLOOKUP($B226,Seqs!$A:$B,2,0),O226,1),"")</f>
        <v>G</v>
      </c>
      <c r="O226" s="3">
        <v>98</v>
      </c>
      <c r="P226" s="3" t="str">
        <f>IFERROR(MID(VLOOKUP($B226,Seqs!$A:$B,2,0),Q226,1),"")</f>
        <v>E</v>
      </c>
      <c r="Q226" s="3">
        <v>99</v>
      </c>
      <c r="R226" s="3" t="str">
        <f>IFERROR(MID(VLOOKUP($B226,Seqs!$A:$B,2,0),S226,1),"")</f>
        <v>F</v>
      </c>
      <c r="S226" s="3">
        <v>102</v>
      </c>
      <c r="T226" s="3" t="str">
        <f>IFERROR(MID(VLOOKUP($B226,Seqs!$A:$B,2,0),U226,1),"")</f>
        <v>S</v>
      </c>
      <c r="U226" s="3">
        <v>103</v>
      </c>
      <c r="V226" s="3" t="str">
        <f>IFERROR(MID(VLOOKUP($B226,Seqs!$A:$B,2,0),W226,1),"")</f>
        <v>M</v>
      </c>
      <c r="W226" s="3">
        <v>138</v>
      </c>
      <c r="X226" s="3" t="str">
        <f>IFERROR(MID(VLOOKUP($B226,Seqs!$A:$B,2,0),Y226,1),"")</f>
        <v>P</v>
      </c>
      <c r="Y226" s="3">
        <v>139</v>
      </c>
      <c r="Z226" s="3" t="str">
        <f>IFERROR(MID(VLOOKUP($B226,Seqs!$A:$B,2,0),AA226,1),"")</f>
        <v>S</v>
      </c>
      <c r="AA226" s="3">
        <v>147</v>
      </c>
      <c r="AB226" s="3" t="str">
        <f>IFERROR(MID(VLOOKUP($B226,Seqs!$A:$B,2,0),AC226,1),"")</f>
        <v>S</v>
      </c>
      <c r="AC226" s="3">
        <v>148</v>
      </c>
      <c r="AD226" s="3" t="str">
        <f>IFERROR(MID(VLOOKUP($B226,Seqs!$A:$B,2,0),AE226,1),"")</f>
        <v>F</v>
      </c>
      <c r="AE226" s="3">
        <v>172</v>
      </c>
      <c r="AF226" s="3" t="str">
        <f>IFERROR(MID(VLOOKUP($B226,Seqs!$A:$B,2,0),AG226,1),"")</f>
        <v>C</v>
      </c>
      <c r="AG226" s="3">
        <v>182</v>
      </c>
      <c r="AH226" s="3" t="str">
        <f>IFERROR(MID(VLOOKUP($B226,Seqs!$A:$B,2,0),AI226,1),"")</f>
        <v>I</v>
      </c>
      <c r="AI226" s="3">
        <v>184</v>
      </c>
      <c r="AJ226" s="3" t="str">
        <f>IFERROR(MID(VLOOKUP($B226,Seqs!$A:$B,2,0),AK226,1),"")</f>
        <v>N</v>
      </c>
      <c r="AK226" s="3">
        <v>186</v>
      </c>
      <c r="AL226" s="3" t="str">
        <f>IFERROR(MID(VLOOKUP($B226,Seqs!$A:$B,2,0),AM226,1),"")</f>
        <v>K</v>
      </c>
      <c r="AM226" s="3">
        <v>226</v>
      </c>
      <c r="AN226" s="3" t="str">
        <f>IFERROR(MID(VLOOKUP($B226,Seqs!$A:$B,2,0),AO226,1),"")</f>
        <v>K</v>
      </c>
      <c r="AO226" s="3">
        <v>362</v>
      </c>
      <c r="AP226" s="3" t="str">
        <f>IFERROR(MID(VLOOKUP($B226,Seqs!$A:$B,2,0),AQ226,1),"")</f>
        <v>C</v>
      </c>
      <c r="AQ226" s="3">
        <v>399</v>
      </c>
      <c r="AR226" s="3" t="str">
        <f>IFERROR(MID(VLOOKUP($B226,Seqs!$A:$B,2,0),AS226,1),"")</f>
        <v>P</v>
      </c>
      <c r="AS226" s="3">
        <v>404</v>
      </c>
      <c r="AT226" s="3" t="str">
        <f>IFERROR(MID(VLOOKUP($B226,Seqs!$A:$B,2,0),AU226,1),"")</f>
        <v>F</v>
      </c>
      <c r="AU226" s="3">
        <v>429</v>
      </c>
      <c r="AV226" s="3" t="str">
        <f>IFERROR(MID(VLOOKUP($B226,Seqs!$A:$B,2,0),AW226,1),"")</f>
        <v>N</v>
      </c>
      <c r="AW226" s="3">
        <v>430</v>
      </c>
      <c r="AX226" s="3" t="str">
        <f>IFERROR(MID(VLOOKUP($B226,Seqs!$A:$B,2,0),AY226,1),"")</f>
        <v>H</v>
      </c>
      <c r="AY226" s="3">
        <v>442</v>
      </c>
      <c r="AZ226" s="77" t="str">
        <f>VLOOKUP(B226,Classification!A:D,2,0)</f>
        <v>A</v>
      </c>
      <c r="BA226" s="94" t="str">
        <f>VLOOKUP(B226,Classification!A:D,4,0)</f>
        <v>Dopamine</v>
      </c>
      <c r="BB226" s="27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>_xlfn.AGGREGATE(9,6,CH226:CS226)-_xlfn.AGGREGATE(9,6,BV226:CG226)+12</f>
        <v>263</v>
      </c>
      <c r="BD226" s="56" t="s">
        <v>23</v>
      </c>
      <c r="BE226" s="3" t="s">
        <v>23</v>
      </c>
      <c r="BF226" s="118" t="s">
        <v>23</v>
      </c>
      <c r="BG226" s="49" t="s">
        <v>1368</v>
      </c>
      <c r="BH226" s="49" t="s">
        <v>1373</v>
      </c>
      <c r="BI226" s="1"/>
      <c r="BJ226" s="70" t="s">
        <v>1283</v>
      </c>
      <c r="BK226" s="57" t="s">
        <v>1283</v>
      </c>
      <c r="BL226" s="57" t="s">
        <v>1283</v>
      </c>
      <c r="BM226" s="57" t="s">
        <v>1283</v>
      </c>
      <c r="BN226" s="57" t="s">
        <v>1283</v>
      </c>
      <c r="BO226" s="57" t="s">
        <v>1283</v>
      </c>
      <c r="BP226" s="57" t="s">
        <v>1283</v>
      </c>
      <c r="BQ226" s="57" t="s">
        <v>1283</v>
      </c>
      <c r="BR226" s="57" t="s">
        <v>1283</v>
      </c>
      <c r="BS226" s="57" t="s">
        <v>1283</v>
      </c>
      <c r="BT226" s="57" t="s">
        <v>1283</v>
      </c>
      <c r="BU226" s="57" t="s">
        <v>1283</v>
      </c>
      <c r="BV226" s="70">
        <f>E226</f>
        <v>31</v>
      </c>
      <c r="BW226" s="71">
        <f>I226</f>
        <v>63</v>
      </c>
      <c r="BX226" s="72">
        <f>M226</f>
        <v>67</v>
      </c>
      <c r="BY226" s="71">
        <f>Q226</f>
        <v>99</v>
      </c>
      <c r="BZ226" s="72">
        <f>U226</f>
        <v>103</v>
      </c>
      <c r="CA226" s="71">
        <f>Y226</f>
        <v>139</v>
      </c>
      <c r="CB226" s="72">
        <f>AC226</f>
        <v>148</v>
      </c>
      <c r="CC226" s="71">
        <f>AG226</f>
        <v>182</v>
      </c>
      <c r="CD226" s="72">
        <f>AK226</f>
        <v>186</v>
      </c>
      <c r="CE226" s="71">
        <f>AO226</f>
        <v>362</v>
      </c>
      <c r="CF226" s="72">
        <f>AS226</f>
        <v>404</v>
      </c>
      <c r="CG226" s="71">
        <f>AW226</f>
        <v>430</v>
      </c>
      <c r="CH226" s="70">
        <f>G226</f>
        <v>62</v>
      </c>
      <c r="CI226" s="71">
        <f>K226</f>
        <v>66</v>
      </c>
      <c r="CJ226" s="72">
        <f>O226</f>
        <v>98</v>
      </c>
      <c r="CK226" s="72">
        <f>S226</f>
        <v>102</v>
      </c>
      <c r="CL226" s="72">
        <f>W226</f>
        <v>138</v>
      </c>
      <c r="CM226" s="72">
        <f>AA226</f>
        <v>147</v>
      </c>
      <c r="CN226" s="72">
        <f>AE226</f>
        <v>172</v>
      </c>
      <c r="CO226" s="72">
        <f>AI226</f>
        <v>184</v>
      </c>
      <c r="CP226" s="72">
        <f>AM226</f>
        <v>226</v>
      </c>
      <c r="CQ226" s="72">
        <f>AQ226</f>
        <v>399</v>
      </c>
      <c r="CR226" s="72">
        <f>AU226</f>
        <v>429</v>
      </c>
      <c r="CS226" s="72">
        <f>AY226</f>
        <v>442</v>
      </c>
      <c r="CT226" s="23">
        <f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>CONCATENATE(B227,"_",C227)</f>
        <v>drd2_human_6CM4</v>
      </c>
      <c r="B227" s="3" t="s">
        <v>191</v>
      </c>
      <c r="C227" s="3" t="s">
        <v>1472</v>
      </c>
      <c r="D227" s="3" t="str">
        <f>IFERROR(MID(VLOOKUP($B227,Seqs!$A:$B,2,0),E227,1),"")</f>
        <v>N</v>
      </c>
      <c r="E227" s="3">
        <v>35</v>
      </c>
      <c r="F227" s="3" t="str">
        <f>IFERROR(MID(VLOOKUP($B227,Seqs!$A:$B,2,0),G227,1),"")</f>
        <v>E</v>
      </c>
      <c r="G227" s="3">
        <v>62</v>
      </c>
      <c r="H227" s="3" t="str">
        <f>IFERROR(MID(VLOOKUP($B227,Seqs!$A:$B,2,0),I227,1),"")</f>
        <v>K</v>
      </c>
      <c r="I227" s="23">
        <v>63</v>
      </c>
      <c r="J227" s="3" t="str">
        <f>IFERROR(MID(VLOOKUP($B227,Seqs!$A:$B,2,0),K227,1),"")</f>
        <v>Q</v>
      </c>
      <c r="K227" s="23">
        <v>66</v>
      </c>
      <c r="L227" s="3" t="str">
        <f>IFERROR(MID(VLOOKUP($B227,Seqs!$A:$B,2,0),M227,1),"")</f>
        <v>T</v>
      </c>
      <c r="M227" s="3">
        <v>67</v>
      </c>
      <c r="N227" s="3" t="str">
        <f>IFERROR(MID(VLOOKUP($B227,Seqs!$A:$B,2,0),O227,1),"")</f>
        <v>G</v>
      </c>
      <c r="O227" s="3">
        <v>98</v>
      </c>
      <c r="P227" s="3" t="str">
        <f>IFERROR(MID(VLOOKUP($B227,Seqs!$A:$B,2,0),Q227,1),"")</f>
        <v>E</v>
      </c>
      <c r="Q227" s="3">
        <v>99</v>
      </c>
      <c r="R227" s="3" t="str">
        <f>IFERROR(MID(VLOOKUP($B227,Seqs!$A:$B,2,0),S227,1),"")</f>
        <v>F</v>
      </c>
      <c r="S227" s="3">
        <v>102</v>
      </c>
      <c r="T227" s="3" t="str">
        <f>IFERROR(MID(VLOOKUP($B227,Seqs!$A:$B,2,0),U227,1),"")</f>
        <v>S</v>
      </c>
      <c r="U227" s="3">
        <v>103</v>
      </c>
      <c r="V227" s="3" t="str">
        <f>IFERROR(MID(VLOOKUP($B227,Seqs!$A:$B,2,0),W227,1),"")</f>
        <v>M</v>
      </c>
      <c r="W227" s="3">
        <v>138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Y</v>
      </c>
      <c r="AC227" s="3">
        <v>146</v>
      </c>
      <c r="AD227" s="3" t="str">
        <f>IFERROR(MID(VLOOKUP($B227,Seqs!$A:$B,2,0),AE227,1),"")</f>
        <v>F</v>
      </c>
      <c r="AE227" s="3">
        <v>172</v>
      </c>
      <c r="AF227" s="3" t="str">
        <f>IFERROR(MID(VLOOKUP($B227,Seqs!$A:$B,2,0),AG227,1),"")</f>
        <v>C</v>
      </c>
      <c r="AG227" s="3">
        <v>182</v>
      </c>
      <c r="AH227" s="3" t="str">
        <f>IFERROR(MID(VLOOKUP($B227,Seqs!$A:$B,2,0),AI227,1),"")</f>
        <v>I</v>
      </c>
      <c r="AI227" s="3">
        <v>184</v>
      </c>
      <c r="AJ227" s="3" t="str">
        <f>IFERROR(MID(VLOOKUP($B227,Seqs!$A:$B,2,0),AK227,1),"")</f>
        <v>A</v>
      </c>
      <c r="AK227" s="3">
        <v>188</v>
      </c>
      <c r="AL227" s="3" t="str">
        <f>IFERROR(MID(VLOOKUP($B227,Seqs!$A:$B,2,0),AM227,1),"")</f>
        <v>R</v>
      </c>
      <c r="AM227" s="3">
        <v>222</v>
      </c>
      <c r="AN227" s="3" t="str">
        <f>IFERROR(MID(VLOOKUP($B227,Seqs!$A:$B,2,0),AO227,1),"")</f>
        <v>E</v>
      </c>
      <c r="AO227" s="3">
        <v>368</v>
      </c>
      <c r="AP227" s="3" t="str">
        <f>IFERROR(MID(VLOOKUP($B227,Seqs!$A:$B,2,0),AQ227,1),"")</f>
        <v>C</v>
      </c>
      <c r="AQ227" s="3">
        <v>399</v>
      </c>
      <c r="AR227" s="3" t="str">
        <f>IFERROR(MID(VLOOKUP($B227,Seqs!$A:$B,2,0),AS227,1),"")</f>
        <v>P</v>
      </c>
      <c r="AS227" s="3">
        <v>404</v>
      </c>
      <c r="AT227" s="3" t="str">
        <f>IFERROR(MID(VLOOKUP($B227,Seqs!$A:$B,2,0),AU227,1),"")</f>
        <v>F</v>
      </c>
      <c r="AU227" s="3">
        <v>429</v>
      </c>
      <c r="AV227" s="3" t="str">
        <f>IFERROR(MID(VLOOKUP($B227,Seqs!$A:$B,2,0),AW227,1),"")</f>
        <v>N</v>
      </c>
      <c r="AW227" s="3">
        <v>430</v>
      </c>
      <c r="AX227" s="3" t="str">
        <f>IFERROR(MID(VLOOKUP($B227,Seqs!$A:$B,2,0),AY227,1),"")</f>
        <v>H</v>
      </c>
      <c r="AY227" s="3">
        <v>442</v>
      </c>
      <c r="AZ227" s="77" t="str">
        <f>VLOOKUP(B227,Classification!A:D,2,0)</f>
        <v>A</v>
      </c>
      <c r="BA227" s="94" t="str">
        <f>VLOOKUP(B227,Classification!A:D,4,0)</f>
        <v>Dopamine</v>
      </c>
      <c r="BB227" s="27" t="b">
        <f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>_xlfn.AGGREGATE(9,6,CH227:CS227)-_xlfn.AGGREGATE(9,6,BV227:CG227)+12</f>
        <v>241</v>
      </c>
      <c r="BD227" s="56" t="s">
        <v>1372</v>
      </c>
      <c r="BE227" s="3" t="s">
        <v>1370</v>
      </c>
      <c r="BF227" s="118">
        <v>2.87</v>
      </c>
      <c r="BG227" s="49" t="s">
        <v>1</v>
      </c>
      <c r="BH227" s="49" t="s">
        <v>1</v>
      </c>
      <c r="BI227" s="1"/>
      <c r="BJ227" s="70" t="s">
        <v>1283</v>
      </c>
      <c r="BK227" s="57" t="s">
        <v>1283</v>
      </c>
      <c r="BL227" s="57" t="s">
        <v>1283</v>
      </c>
      <c r="BM227" s="57" t="s">
        <v>1283</v>
      </c>
      <c r="BN227" s="57" t="s">
        <v>1283</v>
      </c>
      <c r="BO227" s="57" t="s">
        <v>1283</v>
      </c>
      <c r="BP227" s="57" t="s">
        <v>1283</v>
      </c>
      <c r="BQ227" s="57" t="s">
        <v>1283</v>
      </c>
      <c r="BR227" s="57" t="s">
        <v>1283</v>
      </c>
      <c r="BS227" s="57" t="s">
        <v>1283</v>
      </c>
      <c r="BT227" s="57" t="s">
        <v>1283</v>
      </c>
      <c r="BU227" s="57" t="s">
        <v>1283</v>
      </c>
      <c r="BV227" s="70">
        <f>E227</f>
        <v>35</v>
      </c>
      <c r="BW227" s="71">
        <f>I227</f>
        <v>63</v>
      </c>
      <c r="BX227" s="72">
        <f>M227</f>
        <v>67</v>
      </c>
      <c r="BY227" s="71">
        <f>Q227</f>
        <v>99</v>
      </c>
      <c r="BZ227" s="72">
        <f>U227</f>
        <v>103</v>
      </c>
      <c r="CA227" s="71" t="str">
        <f>Y227</f>
        <v>-</v>
      </c>
      <c r="CB227" s="72">
        <f>AC227</f>
        <v>146</v>
      </c>
      <c r="CC227" s="71">
        <f>AG227</f>
        <v>182</v>
      </c>
      <c r="CD227" s="72">
        <f>AK227</f>
        <v>188</v>
      </c>
      <c r="CE227" s="71">
        <f>AO227</f>
        <v>368</v>
      </c>
      <c r="CF227" s="72">
        <f>AS227</f>
        <v>404</v>
      </c>
      <c r="CG227" s="71">
        <f>AW227</f>
        <v>430</v>
      </c>
      <c r="CH227" s="70">
        <f>G227</f>
        <v>62</v>
      </c>
      <c r="CI227" s="71">
        <f>K227</f>
        <v>66</v>
      </c>
      <c r="CJ227" s="72">
        <f>O227</f>
        <v>98</v>
      </c>
      <c r="CK227" s="72">
        <f>S227</f>
        <v>102</v>
      </c>
      <c r="CL227" s="72">
        <f>W227</f>
        <v>138</v>
      </c>
      <c r="CM227" s="72" t="str">
        <f>AA227</f>
        <v>-</v>
      </c>
      <c r="CN227" s="72">
        <f>AE227</f>
        <v>172</v>
      </c>
      <c r="CO227" s="72">
        <f>AI227</f>
        <v>184</v>
      </c>
      <c r="CP227" s="72">
        <f>AM227</f>
        <v>222</v>
      </c>
      <c r="CQ227" s="72">
        <f>AQ227</f>
        <v>399</v>
      </c>
      <c r="CR227" s="72">
        <f>AU227</f>
        <v>429</v>
      </c>
      <c r="CS227" s="72">
        <f>AY227</f>
        <v>442</v>
      </c>
      <c r="CT227" s="23">
        <f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>CONCATENATE(B228,"_",C228)</f>
        <v>drd2_human_6LUQ</v>
      </c>
      <c r="B228" s="3" t="s">
        <v>191</v>
      </c>
      <c r="C228" s="3" t="s">
        <v>1652</v>
      </c>
      <c r="D228" s="3" t="str">
        <f>IFERROR(MID(VLOOKUP($B228,Seqs!$A:$B,2,0),E228,1),"")</f>
        <v>Y</v>
      </c>
      <c r="E228" s="3">
        <v>36</v>
      </c>
      <c r="F228" s="3" t="str">
        <f>IFERROR(MID(VLOOKUP($B228,Seqs!$A:$B,2,0),G228,1),"")</f>
        <v>E</v>
      </c>
      <c r="G228" s="3">
        <v>62</v>
      </c>
      <c r="H228" s="3" t="str">
        <f>IFERROR(MID(VLOOKUP($B228,Seqs!$A:$B,2,0),I228,1),"")</f>
        <v>K</v>
      </c>
      <c r="I228" s="23">
        <v>63</v>
      </c>
      <c r="J228" s="3" t="str">
        <f>IFERROR(MID(VLOOKUP($B228,Seqs!$A:$B,2,0),K228,1),"")</f>
        <v>Q</v>
      </c>
      <c r="K228" s="23">
        <v>66</v>
      </c>
      <c r="L228" s="3" t="str">
        <f>IFERROR(MID(VLOOKUP($B228,Seqs!$A:$B,2,0),M228,1),"")</f>
        <v>T</v>
      </c>
      <c r="M228" s="3">
        <v>67</v>
      </c>
      <c r="N228" s="3" t="str">
        <f>IFERROR(MID(VLOOKUP($B228,Seqs!$A:$B,2,0),O228,1),"")</f>
        <v>G</v>
      </c>
      <c r="O228" s="3">
        <v>98</v>
      </c>
      <c r="P228" s="3" t="str">
        <f>IFERROR(MID(VLOOKUP($B228,Seqs!$A:$B,2,0),Q228,1),"")</f>
        <v>E</v>
      </c>
      <c r="Q228" s="3">
        <v>99</v>
      </c>
      <c r="R228" s="3" t="str">
        <f>IFERROR(MID(VLOOKUP($B228,Seqs!$A:$B,2,0),S228,1),"")</f>
        <v>F</v>
      </c>
      <c r="S228" s="3">
        <v>102</v>
      </c>
      <c r="T228" s="3" t="str">
        <f>IFERROR(MID(VLOOKUP($B228,Seqs!$A:$B,2,0),U228,1),"")</f>
        <v>S</v>
      </c>
      <c r="U228" s="3">
        <v>103</v>
      </c>
      <c r="V228" s="3" t="str">
        <f>IFERROR(MID(VLOOKUP($B228,Seqs!$A:$B,2,0),W228,1),"")</f>
        <v>M</v>
      </c>
      <c r="W228" s="3">
        <v>138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R</v>
      </c>
      <c r="AC228" s="3">
        <v>145</v>
      </c>
      <c r="AD228" s="3" t="str">
        <f>IFERROR(MID(VLOOKUP($B228,Seqs!$A:$B,2,0),AE228,1),"")</f>
        <v>G</v>
      </c>
      <c r="AE228" s="3">
        <v>173</v>
      </c>
      <c r="AF228" s="3" t="str">
        <f>IFERROR(MID(VLOOKUP($B228,Seqs!$A:$B,2,0),AG228,1),"")</f>
        <v>C</v>
      </c>
      <c r="AG228" s="3">
        <v>182</v>
      </c>
      <c r="AH228" s="3" t="str">
        <f>IFERROR(MID(VLOOKUP($B228,Seqs!$A:$B,2,0),AI228,1),"")</f>
        <v>I</v>
      </c>
      <c r="AI228" s="3">
        <v>184</v>
      </c>
      <c r="AJ228" s="3" t="str">
        <f>IFERROR(MID(VLOOKUP($B228,Seqs!$A:$B,2,0),AK228,1),"")</f>
        <v>A</v>
      </c>
      <c r="AK228" s="3">
        <v>188</v>
      </c>
      <c r="AL228" s="3" t="str">
        <f>IFERROR(MID(VLOOKUP($B228,Seqs!$A:$B,2,0),AM228,1),"")</f>
        <v>R</v>
      </c>
      <c r="AM228" s="3">
        <v>222</v>
      </c>
      <c r="AN228" s="3" t="str">
        <f>IFERROR(MID(VLOOKUP($B228,Seqs!$A:$B,2,0),AO228,1),"")</f>
        <v>L</v>
      </c>
      <c r="AO228" s="3">
        <v>387</v>
      </c>
      <c r="AP228" s="3" t="str">
        <f>IFERROR(MID(VLOOKUP($B228,Seqs!$A:$B,2,0),AQ228,1),"")</f>
        <v>A</v>
      </c>
      <c r="AQ228" s="3">
        <v>420</v>
      </c>
      <c r="AR228" s="3" t="str">
        <f>IFERROR(MID(VLOOKUP($B228,Seqs!$A:$B,2,0),AS228,1),"")</f>
        <v>I</v>
      </c>
      <c r="AS228" s="3">
        <v>425</v>
      </c>
      <c r="AT228" s="3" t="str">
        <f>IFERROR(MID(VLOOKUP($B228,Seqs!$A:$B,2,0),AU228,1),"")</f>
        <v/>
      </c>
      <c r="AU228" s="3">
        <v>450</v>
      </c>
      <c r="AV228" s="3" t="str">
        <f>IFERROR(MID(VLOOKUP($B228,Seqs!$A:$B,2,0),AW228,1),"")</f>
        <v/>
      </c>
      <c r="AW228" s="3">
        <v>451</v>
      </c>
      <c r="AX228" s="3" t="str">
        <f>IFERROR(MID(VLOOKUP($B228,Seqs!$A:$B,2,0),AY228,1),"")</f>
        <v/>
      </c>
      <c r="AY228" s="3">
        <v>463</v>
      </c>
      <c r="AZ228" s="77" t="str">
        <f>VLOOKUP(B228,Classification!A:D,2,0)</f>
        <v>A</v>
      </c>
      <c r="BA228" s="94" t="str">
        <f>VLOOKUP(B228,Classification!A:D,4,0)</f>
        <v>Dopamine</v>
      </c>
      <c r="BB228" s="27" t="b">
        <f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>_xlfn.AGGREGATE(9,6,CH228:CS228)-_xlfn.AGGREGATE(9,6,BV228:CG228)+12</f>
        <v>244</v>
      </c>
      <c r="BD228" s="56" t="s">
        <v>23</v>
      </c>
      <c r="BE228" s="3" t="s">
        <v>1370</v>
      </c>
      <c r="BF228" s="118">
        <v>3.1</v>
      </c>
      <c r="BG228" s="49" t="s">
        <v>1</v>
      </c>
      <c r="BH228" s="49" t="s">
        <v>1</v>
      </c>
      <c r="BI228" s="1"/>
      <c r="BJ228" s="70" t="s">
        <v>1283</v>
      </c>
      <c r="BK228" s="57" t="s">
        <v>1283</v>
      </c>
      <c r="BL228" s="57" t="s">
        <v>1283</v>
      </c>
      <c r="BM228" s="57" t="s">
        <v>1283</v>
      </c>
      <c r="BN228" s="57" t="s">
        <v>1283</v>
      </c>
      <c r="BO228" s="57" t="s">
        <v>1283</v>
      </c>
      <c r="BP228" s="57" t="s">
        <v>1283</v>
      </c>
      <c r="BQ228" s="57" t="s">
        <v>1283</v>
      </c>
      <c r="BR228" s="57" t="s">
        <v>1283</v>
      </c>
      <c r="BS228" s="57" t="s">
        <v>1283</v>
      </c>
      <c r="BT228" s="57" t="s">
        <v>1283</v>
      </c>
      <c r="BU228" s="57" t="s">
        <v>1283</v>
      </c>
      <c r="BV228" s="70">
        <f>E228</f>
        <v>36</v>
      </c>
      <c r="BW228" s="71">
        <f>I228</f>
        <v>63</v>
      </c>
      <c r="BX228" s="72">
        <f>M228</f>
        <v>67</v>
      </c>
      <c r="BY228" s="71">
        <f>Q228</f>
        <v>99</v>
      </c>
      <c r="BZ228" s="72">
        <f>U228</f>
        <v>103</v>
      </c>
      <c r="CA228" s="71" t="str">
        <f>Y228</f>
        <v>-</v>
      </c>
      <c r="CB228" s="72">
        <f>AC228</f>
        <v>145</v>
      </c>
      <c r="CC228" s="71">
        <f>AG228</f>
        <v>182</v>
      </c>
      <c r="CD228" s="72">
        <f>AK228</f>
        <v>188</v>
      </c>
      <c r="CE228" s="71">
        <f>AO228</f>
        <v>387</v>
      </c>
      <c r="CF228" s="72">
        <f>AS228</f>
        <v>425</v>
      </c>
      <c r="CG228" s="71">
        <f>AW228</f>
        <v>451</v>
      </c>
      <c r="CH228" s="70">
        <f>G228</f>
        <v>62</v>
      </c>
      <c r="CI228" s="71">
        <f>K228</f>
        <v>66</v>
      </c>
      <c r="CJ228" s="72">
        <f>O228</f>
        <v>98</v>
      </c>
      <c r="CK228" s="72">
        <f>S228</f>
        <v>102</v>
      </c>
      <c r="CL228" s="72">
        <f>W228</f>
        <v>138</v>
      </c>
      <c r="CM228" s="72" t="str">
        <f>AA228</f>
        <v>-</v>
      </c>
      <c r="CN228" s="72">
        <f>AE228</f>
        <v>173</v>
      </c>
      <c r="CO228" s="72">
        <f>AI228</f>
        <v>184</v>
      </c>
      <c r="CP228" s="72">
        <f>AM228</f>
        <v>222</v>
      </c>
      <c r="CQ228" s="72">
        <f>AQ228</f>
        <v>420</v>
      </c>
      <c r="CR228" s="72">
        <f>AU228</f>
        <v>450</v>
      </c>
      <c r="CS228" s="72">
        <f>AY228</f>
        <v>463</v>
      </c>
      <c r="CT228" s="23">
        <f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s="12" customFormat="1" x14ac:dyDescent="0.2">
      <c r="A229" s="9" t="str">
        <f>CONCATENATE(B229,"_",C229)</f>
        <v>drd2_human_6VMS</v>
      </c>
      <c r="B229" s="9" t="s">
        <v>191</v>
      </c>
      <c r="C229" s="9" t="s">
        <v>1681</v>
      </c>
      <c r="D229" s="9" t="str">
        <f>IFERROR(MID(VLOOKUP($B229,Seqs!$A:$B,2,0),E229,1),"")</f>
        <v>L</v>
      </c>
      <c r="E229" s="9">
        <v>41</v>
      </c>
      <c r="F229" s="9" t="str">
        <f>IFERROR(MID(VLOOKUP($B229,Seqs!$A:$B,2,0),G229,1),"")</f>
        <v>E</v>
      </c>
      <c r="G229" s="9">
        <v>62</v>
      </c>
      <c r="H229" s="9" t="str">
        <f>IFERROR(MID(VLOOKUP($B229,Seqs!$A:$B,2,0),I229,1),"")</f>
        <v/>
      </c>
      <c r="I229" s="109" t="s">
        <v>23</v>
      </c>
      <c r="J229" s="9" t="str">
        <f>IFERROR(MID(VLOOKUP($B229,Seqs!$A:$B,2,0),K229,1),"")</f>
        <v/>
      </c>
      <c r="K229" s="109" t="s">
        <v>23</v>
      </c>
      <c r="L229" s="9" t="str">
        <f>IFERROR(MID(VLOOKUP($B229,Seqs!$A:$B,2,0),M229,1),"")</f>
        <v>T</v>
      </c>
      <c r="M229" s="9">
        <v>67</v>
      </c>
      <c r="N229" s="9" t="str">
        <f>IFERROR(MID(VLOOKUP($B229,Seqs!$A:$B,2,0),O229,1),"")</f>
        <v>V</v>
      </c>
      <c r="O229" s="9">
        <v>97</v>
      </c>
      <c r="P229" s="9" t="str">
        <f>IFERROR(MID(VLOOKUP($B229,Seqs!$A:$B,2,0),Q229,1),"")</f>
        <v>E</v>
      </c>
      <c r="Q229" s="9">
        <v>99</v>
      </c>
      <c r="R229" s="9" t="str">
        <f>IFERROR(MID(VLOOKUP($B229,Seqs!$A:$B,2,0),S229,1),"")</f>
        <v>F</v>
      </c>
      <c r="S229" s="9">
        <v>102</v>
      </c>
      <c r="T229" s="9" t="str">
        <f>IFERROR(MID(VLOOKUP($B229,Seqs!$A:$B,2,0),U229,1),"")</f>
        <v>I</v>
      </c>
      <c r="U229" s="9">
        <v>105</v>
      </c>
      <c r="V229" s="9" t="str">
        <f>IFERROR(MID(VLOOKUP($B229,Seqs!$A:$B,2,0),W229,1),"")</f>
        <v>M</v>
      </c>
      <c r="W229" s="9">
        <v>138</v>
      </c>
      <c r="X229" s="9" t="str">
        <f>IFERROR(MID(VLOOKUP($B229,Seqs!$A:$B,2,0),Y229,1),"")</f>
        <v/>
      </c>
      <c r="Y229" s="9" t="s">
        <v>23</v>
      </c>
      <c r="Z229" s="9" t="str">
        <f>IFERROR(MID(VLOOKUP($B229,Seqs!$A:$B,2,0),AA229,1),"")</f>
        <v/>
      </c>
      <c r="AA229" s="9" t="s">
        <v>23</v>
      </c>
      <c r="AB229" s="9" t="str">
        <f>IFERROR(MID(VLOOKUP($B229,Seqs!$A:$B,2,0),AC229,1),"")</f>
        <v>T</v>
      </c>
      <c r="AC229" s="9">
        <v>144</v>
      </c>
      <c r="AD229" s="9" t="str">
        <f>IFERROR(MID(VLOOKUP($B229,Seqs!$A:$B,2,0),AE229,1),"")</f>
        <v>L</v>
      </c>
      <c r="AE229" s="9">
        <v>171</v>
      </c>
      <c r="AF229" s="9" t="str">
        <f>IFERROR(MID(VLOOKUP($B229,Seqs!$A:$B,2,0),AG229,1),"")</f>
        <v>C</v>
      </c>
      <c r="AG229" s="9">
        <v>182</v>
      </c>
      <c r="AH229" s="9" t="str">
        <f>IFERROR(MID(VLOOKUP($B229,Seqs!$A:$B,2,0),AI229,1),"")</f>
        <v>I</v>
      </c>
      <c r="AI229" s="9">
        <v>184</v>
      </c>
      <c r="AJ229" s="9" t="str">
        <f>IFERROR(MID(VLOOKUP($B229,Seqs!$A:$B,2,0),AK229,1),"")</f>
        <v>N</v>
      </c>
      <c r="AK229" s="9">
        <v>186</v>
      </c>
      <c r="AL229" s="9" t="str">
        <f>IFERROR(MID(VLOOKUP($B229,Seqs!$A:$B,2,0),AM229,1),"")</f>
        <v>V</v>
      </c>
      <c r="AM229" s="9">
        <v>223</v>
      </c>
      <c r="AN229" s="9" t="str">
        <f>IFERROR(MID(VLOOKUP($B229,Seqs!$A:$B,2,0),AO229,1),"")</f>
        <v>R</v>
      </c>
      <c r="AO229" s="9">
        <v>361</v>
      </c>
      <c r="AP229" s="9" t="str">
        <f>IFERROR(MID(VLOOKUP($B229,Seqs!$A:$B,2,0),AQ229,1),"")</f>
        <v>C</v>
      </c>
      <c r="AQ229" s="9">
        <v>399</v>
      </c>
      <c r="AR229" s="9" t="str">
        <f>IFERROR(MID(VLOOKUP($B229,Seqs!$A:$B,2,0),AS229,1),"")</f>
        <v>P</v>
      </c>
      <c r="AS229" s="9">
        <v>404</v>
      </c>
      <c r="AT229" s="9" t="str">
        <f>IFERROR(MID(VLOOKUP($B229,Seqs!$A:$B,2,0),AU229,1),"")</f>
        <v>F</v>
      </c>
      <c r="AU229" s="9">
        <v>429</v>
      </c>
      <c r="AV229" s="9" t="str">
        <f>IFERROR(MID(VLOOKUP($B229,Seqs!$A:$B,2,0),AW229,1),"")</f>
        <v>N</v>
      </c>
      <c r="AW229" s="9">
        <v>430</v>
      </c>
      <c r="AX229" s="9" t="str">
        <f>IFERROR(MID(VLOOKUP($B229,Seqs!$A:$B,2,0),AY229,1),"")</f>
        <v>H</v>
      </c>
      <c r="AY229" s="9">
        <v>442</v>
      </c>
      <c r="AZ229" s="110" t="str">
        <f>VLOOKUP(B229,Classification!A:D,2,0)</f>
        <v>A</v>
      </c>
      <c r="BA229" s="98" t="str">
        <f>VLOOKUP(B229,Classification!A:D,4,0)</f>
        <v>Dopamine</v>
      </c>
      <c r="BB229" s="36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109">
        <f>_xlfn.AGGREGATE(9,6,CH229:CS229)-_xlfn.AGGREGATE(9,6,BV229:CG229)+12</f>
        <v>240</v>
      </c>
      <c r="BD229" s="127" t="s">
        <v>1371</v>
      </c>
      <c r="BE229" s="9" t="s">
        <v>1287</v>
      </c>
      <c r="BF229" s="119">
        <v>3.8</v>
      </c>
      <c r="BG229" s="51" t="s">
        <v>1418</v>
      </c>
      <c r="BH229" s="51" t="s">
        <v>1418</v>
      </c>
      <c r="BJ229" s="111" t="s">
        <v>1283</v>
      </c>
      <c r="BK229" s="112" t="s">
        <v>1283</v>
      </c>
      <c r="BL229" s="112" t="s">
        <v>1283</v>
      </c>
      <c r="BM229" s="112" t="s">
        <v>1283</v>
      </c>
      <c r="BN229" s="112" t="s">
        <v>1283</v>
      </c>
      <c r="BO229" s="112" t="s">
        <v>1283</v>
      </c>
      <c r="BP229" s="112" t="s">
        <v>1283</v>
      </c>
      <c r="BQ229" s="112" t="s">
        <v>1283</v>
      </c>
      <c r="BR229" s="112" t="s">
        <v>1283</v>
      </c>
      <c r="BS229" s="112" t="s">
        <v>1283</v>
      </c>
      <c r="BT229" s="112" t="s">
        <v>1283</v>
      </c>
      <c r="BU229" s="112" t="s">
        <v>1283</v>
      </c>
      <c r="BV229" s="111">
        <f>E229</f>
        <v>41</v>
      </c>
      <c r="BW229" s="113" t="str">
        <f>I229</f>
        <v>-</v>
      </c>
      <c r="BX229" s="114">
        <f>M229</f>
        <v>67</v>
      </c>
      <c r="BY229" s="113">
        <f>Q229</f>
        <v>99</v>
      </c>
      <c r="BZ229" s="114">
        <f>U229</f>
        <v>105</v>
      </c>
      <c r="CA229" s="113" t="str">
        <f>Y229</f>
        <v>-</v>
      </c>
      <c r="CB229" s="114">
        <f>AC229</f>
        <v>144</v>
      </c>
      <c r="CC229" s="113">
        <f>AG229</f>
        <v>182</v>
      </c>
      <c r="CD229" s="114">
        <f>AK229</f>
        <v>186</v>
      </c>
      <c r="CE229" s="113">
        <f>AO229</f>
        <v>361</v>
      </c>
      <c r="CF229" s="114">
        <f>AS229</f>
        <v>404</v>
      </c>
      <c r="CG229" s="113">
        <f>AW229</f>
        <v>430</v>
      </c>
      <c r="CH229" s="111">
        <f>G229</f>
        <v>62</v>
      </c>
      <c r="CI229" s="113" t="str">
        <f>K229</f>
        <v>-</v>
      </c>
      <c r="CJ229" s="114">
        <f>O229</f>
        <v>97</v>
      </c>
      <c r="CK229" s="114">
        <f>S229</f>
        <v>102</v>
      </c>
      <c r="CL229" s="114">
        <f>W229</f>
        <v>138</v>
      </c>
      <c r="CM229" s="114" t="str">
        <f>AA229</f>
        <v>-</v>
      </c>
      <c r="CN229" s="114">
        <f>AE229</f>
        <v>171</v>
      </c>
      <c r="CO229" s="114">
        <f>AI229</f>
        <v>184</v>
      </c>
      <c r="CP229" s="114">
        <f>AM229</f>
        <v>223</v>
      </c>
      <c r="CQ229" s="114">
        <f>AQ229</f>
        <v>399</v>
      </c>
      <c r="CR229" s="114">
        <f>AU229</f>
        <v>429</v>
      </c>
      <c r="CS229" s="114">
        <f>AY229</f>
        <v>442</v>
      </c>
      <c r="CT229" s="109" t="e">
        <f>M229-K229</f>
        <v>#VALUE!</v>
      </c>
    </row>
    <row r="230" spans="1:1029" x14ac:dyDescent="0.2">
      <c r="A230" s="3" t="str">
        <f t="shared" si="1231"/>
        <v>drd3_human__wt</v>
      </c>
      <c r="B230" s="3" t="s">
        <v>192</v>
      </c>
      <c r="C230" s="3" t="s">
        <v>100</v>
      </c>
      <c r="D230" s="3" t="str">
        <f>IFERROR(MID(VLOOKUP($B230,Seqs!$A:$B,2,0),E230,1),"")</f>
        <v>A</v>
      </c>
      <c r="E230" s="3">
        <v>26</v>
      </c>
      <c r="F230" s="3" t="str">
        <f>IFERROR(MID(VLOOKUP($B230,Seqs!$A:$B,2,0),G230,1),"")</f>
        <v>E</v>
      </c>
      <c r="G230" s="3">
        <v>57</v>
      </c>
      <c r="H230" s="3" t="str">
        <f>IFERROR(MID(VLOOKUP($B230,Seqs!$A:$B,2,0),I230,1),"")</f>
        <v>R</v>
      </c>
      <c r="I230" s="23">
        <v>58</v>
      </c>
      <c r="J230" s="3" t="str">
        <f>IFERROR(MID(VLOOKUP($B230,Seqs!$A:$B,2,0),K230,1),"")</f>
        <v>Q</v>
      </c>
      <c r="K230" s="23">
        <v>61</v>
      </c>
      <c r="L230" s="3" t="str">
        <f>IFERROR(MID(VLOOKUP($B230,Seqs!$A:$B,2,0),M230,1),"")</f>
        <v>T</v>
      </c>
      <c r="M230" s="3">
        <v>62</v>
      </c>
      <c r="N230" s="3" t="str">
        <f>IFERROR(MID(VLOOKUP($B230,Seqs!$A:$B,2,0),O230,1),"")</f>
        <v>T</v>
      </c>
      <c r="O230" s="3">
        <v>92</v>
      </c>
      <c r="P230" s="3" t="str">
        <f>IFERROR(MID(VLOOKUP($B230,Seqs!$A:$B,2,0),Q230,1),"")</f>
        <v>V</v>
      </c>
      <c r="Q230" s="3">
        <v>95</v>
      </c>
      <c r="R230" s="3" t="str">
        <f>IFERROR(MID(VLOOKUP($B230,Seqs!$A:$B,2,0),S230,1),"")</f>
        <v>F</v>
      </c>
      <c r="S230" s="3">
        <v>98</v>
      </c>
      <c r="T230" s="3" t="str">
        <f>IFERROR(MID(VLOOKUP($B230,Seqs!$A:$B,2,0),U230,1),"")</f>
        <v>S</v>
      </c>
      <c r="U230" s="3">
        <v>99</v>
      </c>
      <c r="V230" s="3" t="str">
        <f>IFERROR(MID(VLOOKUP($B230,Seqs!$A:$B,2,0),W230,1),"")</f>
        <v>M</v>
      </c>
      <c r="W230" s="3">
        <v>134</v>
      </c>
      <c r="X230" s="3" t="str">
        <f>IFERROR(MID(VLOOKUP($B230,Seqs!$A:$B,2,0),Y230,1),"")</f>
        <v>P</v>
      </c>
      <c r="Y230" s="3">
        <v>135</v>
      </c>
      <c r="Z230" s="3" t="str">
        <f>IFERROR(MID(VLOOKUP($B230,Seqs!$A:$B,2,0),AA230,1),"")</f>
        <v>G</v>
      </c>
      <c r="AA230" s="3">
        <v>143</v>
      </c>
      <c r="AB230" s="3" t="str">
        <f>IFERROR(MID(VLOOKUP($B230,Seqs!$A:$B,2,0),AC230,1),"")</f>
        <v>S</v>
      </c>
      <c r="AC230" s="3">
        <v>146</v>
      </c>
      <c r="AD230" s="3" t="str">
        <f>IFERROR(MID(VLOOKUP($B230,Seqs!$A:$B,2,0),AE230,1),"")</f>
        <v>G</v>
      </c>
      <c r="AE230" s="3">
        <v>171</v>
      </c>
      <c r="AF230" s="3" t="str">
        <f>IFERROR(MID(VLOOKUP($B230,Seqs!$A:$B,2,0),AG230,1),"")</f>
        <v>C</v>
      </c>
      <c r="AG230" s="3">
        <v>181</v>
      </c>
      <c r="AH230" s="3" t="str">
        <f>IFERROR(MID(VLOOKUP($B230,Seqs!$A:$B,2,0),AI230,1),"")</f>
        <v>I</v>
      </c>
      <c r="AI230" s="3">
        <v>183</v>
      </c>
      <c r="AJ230" s="3" t="str">
        <f>IFERROR(MID(VLOOKUP($B230,Seqs!$A:$B,2,0),AK230,1),"")</f>
        <v>N</v>
      </c>
      <c r="AK230" s="3">
        <v>185</v>
      </c>
      <c r="AL230" s="3" t="str">
        <f>IFERROR(MID(VLOOKUP($B230,Seqs!$A:$B,2,0),AM230,1),"")</f>
        <v>R</v>
      </c>
      <c r="AM230" s="3">
        <v>226</v>
      </c>
      <c r="AN230" s="3" t="str">
        <f>IFERROR(MID(VLOOKUP($B230,Seqs!$A:$B,2,0),AO230,1),"")</f>
        <v>R</v>
      </c>
      <c r="AO230" s="3">
        <v>318</v>
      </c>
      <c r="AP230" s="3" t="str">
        <f>IFERROR(MID(VLOOKUP($B230,Seqs!$A:$B,2,0),AQ230,1),"")</f>
        <v>H</v>
      </c>
      <c r="AQ230" s="3">
        <v>354</v>
      </c>
      <c r="AR230" s="3" t="str">
        <f>IFERROR(MID(VLOOKUP($B230,Seqs!$A:$B,2,0),AS230,1),"")</f>
        <v>S</v>
      </c>
      <c r="AS230" s="3">
        <v>361</v>
      </c>
      <c r="AT230" s="3" t="str">
        <f>IFERROR(MID(VLOOKUP($B230,Seqs!$A:$B,2,0),AU230,1),"")</f>
        <v>F</v>
      </c>
      <c r="AU230" s="3">
        <v>386</v>
      </c>
      <c r="AV230" s="3" t="str">
        <f>IFERROR(MID(VLOOKUP($B230,Seqs!$A:$B,2,0),AW230,1),"")</f>
        <v>N</v>
      </c>
      <c r="AW230" s="3">
        <v>387</v>
      </c>
      <c r="AX230" s="3" t="str">
        <f>IFERROR(MID(VLOOKUP($B230,Seqs!$A:$B,2,0),AY230,1),"")</f>
        <v>S</v>
      </c>
      <c r="AY230" s="3">
        <v>399</v>
      </c>
      <c r="AZ230" s="77" t="str">
        <f>VLOOKUP(B230,Classification!A:D,2,0)</f>
        <v>A</v>
      </c>
      <c r="BA230" s="94" t="str">
        <f>VLOOKUP(B230,Classification!A:D,4,0)</f>
        <v>Dopamine</v>
      </c>
      <c r="BB230" s="27" t="b">
        <f t="shared" si="1232"/>
        <v>1</v>
      </c>
      <c r="BC230" s="23">
        <f t="shared" si="1986"/>
        <v>263</v>
      </c>
      <c r="BD230" s="56" t="s">
        <v>23</v>
      </c>
      <c r="BE230" s="3" t="s">
        <v>23</v>
      </c>
      <c r="BF230" s="118" t="s">
        <v>23</v>
      </c>
      <c r="BG230" s="49" t="s">
        <v>1368</v>
      </c>
      <c r="BH230" s="49" t="s">
        <v>1373</v>
      </c>
      <c r="BI230" s="1"/>
      <c r="BJ230" s="70" t="s">
        <v>1283</v>
      </c>
      <c r="BK230" s="57" t="s">
        <v>1283</v>
      </c>
      <c r="BL230" s="57" t="s">
        <v>1283</v>
      </c>
      <c r="BM230" s="57" t="s">
        <v>1283</v>
      </c>
      <c r="BN230" s="57" t="s">
        <v>1283</v>
      </c>
      <c r="BO230" s="57" t="s">
        <v>1283</v>
      </c>
      <c r="BP230" s="57" t="s">
        <v>1283</v>
      </c>
      <c r="BQ230" s="57" t="s">
        <v>1283</v>
      </c>
      <c r="BR230" s="57" t="s">
        <v>1283</v>
      </c>
      <c r="BS230" s="57" t="s">
        <v>1283</v>
      </c>
      <c r="BT230" s="57" t="s">
        <v>1283</v>
      </c>
      <c r="BU230" s="57" t="s">
        <v>1283</v>
      </c>
      <c r="BV230" s="70">
        <f t="shared" si="1987"/>
        <v>26</v>
      </c>
      <c r="BW230" s="71">
        <f t="shared" si="1988"/>
        <v>58</v>
      </c>
      <c r="BX230" s="72">
        <f t="shared" si="1989"/>
        <v>62</v>
      </c>
      <c r="BY230" s="71">
        <f t="shared" si="1990"/>
        <v>95</v>
      </c>
      <c r="BZ230" s="72">
        <f t="shared" si="1991"/>
        <v>99</v>
      </c>
      <c r="CA230" s="71">
        <f t="shared" si="1992"/>
        <v>135</v>
      </c>
      <c r="CB230" s="72">
        <f t="shared" si="1993"/>
        <v>146</v>
      </c>
      <c r="CC230" s="71">
        <f t="shared" si="1994"/>
        <v>181</v>
      </c>
      <c r="CD230" s="72">
        <f t="shared" si="1995"/>
        <v>185</v>
      </c>
      <c r="CE230" s="71">
        <f t="shared" si="1996"/>
        <v>318</v>
      </c>
      <c r="CF230" s="72">
        <f t="shared" si="1997"/>
        <v>361</v>
      </c>
      <c r="CG230" s="71">
        <f t="shared" si="1998"/>
        <v>387</v>
      </c>
      <c r="CH230" s="70">
        <f t="shared" si="1999"/>
        <v>57</v>
      </c>
      <c r="CI230" s="71">
        <f t="shared" si="2000"/>
        <v>61</v>
      </c>
      <c r="CJ230" s="72">
        <f t="shared" si="2001"/>
        <v>92</v>
      </c>
      <c r="CK230" s="72">
        <f t="shared" si="2002"/>
        <v>98</v>
      </c>
      <c r="CL230" s="72">
        <f t="shared" si="2003"/>
        <v>134</v>
      </c>
      <c r="CM230" s="72">
        <f t="shared" si="2004"/>
        <v>143</v>
      </c>
      <c r="CN230" s="72">
        <f t="shared" si="2005"/>
        <v>171</v>
      </c>
      <c r="CO230" s="72">
        <f t="shared" si="2006"/>
        <v>183</v>
      </c>
      <c r="CP230" s="72">
        <f t="shared" si="2007"/>
        <v>226</v>
      </c>
      <c r="CQ230" s="72">
        <f t="shared" si="2008"/>
        <v>354</v>
      </c>
      <c r="CR230" s="72">
        <f t="shared" si="2009"/>
        <v>386</v>
      </c>
      <c r="CS230" s="72">
        <f t="shared" si="2010"/>
        <v>399</v>
      </c>
      <c r="CT230" s="23">
        <f t="shared" si="2011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 t="shared" si="1231"/>
        <v>drd3_human_3PBL</v>
      </c>
      <c r="B231" s="3" t="s">
        <v>192</v>
      </c>
      <c r="C231" s="3" t="s">
        <v>72</v>
      </c>
      <c r="D231" s="3" t="str">
        <f>IFERROR(MID(VLOOKUP($B231,Seqs!$A:$B,2,0),E231,1),"")</f>
        <v>Y</v>
      </c>
      <c r="E231" s="3">
        <v>32</v>
      </c>
      <c r="F231" s="3" t="str">
        <f>IFERROR(MID(VLOOKUP($B231,Seqs!$A:$B,2,0),G231,1),"")</f>
        <v>E</v>
      </c>
      <c r="G231" s="3">
        <v>57</v>
      </c>
      <c r="H231" s="3" t="str">
        <f>IFERROR(MID(VLOOKUP($B231,Seqs!$A:$B,2,0),I231,1),"")</f>
        <v>R</v>
      </c>
      <c r="I231" s="23">
        <v>58</v>
      </c>
      <c r="J231" s="3" t="str">
        <f>IFERROR(MID(VLOOKUP($B231,Seqs!$A:$B,2,0),K231,1),"")</f>
        <v>Q</v>
      </c>
      <c r="K231" s="23">
        <v>61</v>
      </c>
      <c r="L231" s="3" t="str">
        <f>IFERROR(MID(VLOOKUP($B231,Seqs!$A:$B,2,0),M231,1),"")</f>
        <v>T</v>
      </c>
      <c r="M231" s="3">
        <v>62</v>
      </c>
      <c r="N231" s="3" t="str">
        <f>IFERROR(MID(VLOOKUP($B231,Seqs!$A:$B,2,0),O231,1),"")</f>
        <v>T</v>
      </c>
      <c r="O231" s="3">
        <v>92</v>
      </c>
      <c r="P231" s="3" t="str">
        <f>IFERROR(MID(VLOOKUP($B231,Seqs!$A:$B,2,0),Q231,1),"")</f>
        <v>V</v>
      </c>
      <c r="Q231" s="3">
        <v>95</v>
      </c>
      <c r="R231" s="3" t="str">
        <f>IFERROR(MID(VLOOKUP($B231,Seqs!$A:$B,2,0),S231,1),"")</f>
        <v>F</v>
      </c>
      <c r="S231" s="3">
        <v>98</v>
      </c>
      <c r="T231" s="3" t="str">
        <f>IFERROR(MID(VLOOKUP($B231,Seqs!$A:$B,2,0),U231,1),"")</f>
        <v>S</v>
      </c>
      <c r="U231" s="3">
        <v>99</v>
      </c>
      <c r="V231" s="3" t="str">
        <f>IFERROR(MID(VLOOKUP($B231,Seqs!$A:$B,2,0),W231,1),"")</f>
        <v>M</v>
      </c>
      <c r="W231" s="3">
        <v>134</v>
      </c>
      <c r="X231" s="3" t="str">
        <f>IFERROR(MID(VLOOKUP($B231,Seqs!$A:$B,2,0),Y231,1),"")</f>
        <v>P</v>
      </c>
      <c r="Y231" s="3">
        <v>135</v>
      </c>
      <c r="Z231" s="3" t="str">
        <f>IFERROR(MID(VLOOKUP($B231,Seqs!$A:$B,2,0),AA231,1),"")</f>
        <v>G</v>
      </c>
      <c r="AA231" s="3">
        <v>143</v>
      </c>
      <c r="AB231" s="3" t="str">
        <f>IFERROR(MID(VLOOKUP($B231,Seqs!$A:$B,2,0),AC231,1),"")</f>
        <v>S</v>
      </c>
      <c r="AC231" s="3">
        <v>146</v>
      </c>
      <c r="AD231" s="3" t="str">
        <f>IFERROR(MID(VLOOKUP($B231,Seqs!$A:$B,2,0),AE231,1),"")</f>
        <v>G</v>
      </c>
      <c r="AE231" s="3">
        <v>171</v>
      </c>
      <c r="AF231" s="3" t="str">
        <f>IFERROR(MID(VLOOKUP($B231,Seqs!$A:$B,2,0),AG231,1),"")</f>
        <v>C</v>
      </c>
      <c r="AG231" s="3">
        <v>181</v>
      </c>
      <c r="AH231" s="3" t="str">
        <f>IFERROR(MID(VLOOKUP($B231,Seqs!$A:$B,2,0),AI231,1),"")</f>
        <v>I</v>
      </c>
      <c r="AI231" s="3">
        <v>183</v>
      </c>
      <c r="AJ231" s="3" t="str">
        <f>IFERROR(MID(VLOOKUP($B231,Seqs!$A:$B,2,0),AK231,1),"")</f>
        <v>N</v>
      </c>
      <c r="AK231" s="3">
        <v>185</v>
      </c>
      <c r="AL231" s="3" t="str">
        <f>IFERROR(MID(VLOOKUP($B231,Seqs!$A:$B,2,0),AM231,1),"")</f>
        <v>K</v>
      </c>
      <c r="AM231" s="3">
        <v>216</v>
      </c>
      <c r="AN231" s="3" t="str">
        <f>IFERROR(MID(VLOOKUP($B231,Seqs!$A:$B,2,0),AO231,1),"")</f>
        <v>R</v>
      </c>
      <c r="AO231" s="3">
        <v>323</v>
      </c>
      <c r="AP231" s="3" t="str">
        <f>IFERROR(MID(VLOOKUP($B231,Seqs!$A:$B,2,0),AQ231,1),"")</f>
        <v>H</v>
      </c>
      <c r="AQ231" s="3">
        <v>354</v>
      </c>
      <c r="AR231" s="3" t="str">
        <f>IFERROR(MID(VLOOKUP($B231,Seqs!$A:$B,2,0),AS231,1),"")</f>
        <v>S</v>
      </c>
      <c r="AS231" s="3">
        <v>361</v>
      </c>
      <c r="AT231" s="3" t="str">
        <f>IFERROR(MID(VLOOKUP($B231,Seqs!$A:$B,2,0),AU231,1),"")</f>
        <v>F</v>
      </c>
      <c r="AU231" s="3">
        <v>386</v>
      </c>
      <c r="AV231" s="3" t="str">
        <f>IFERROR(MID(VLOOKUP($B231,Seqs!$A:$B,2,0),AW231,1),"")</f>
        <v>N</v>
      </c>
      <c r="AW231" s="3">
        <v>387</v>
      </c>
      <c r="AX231" s="3" t="str">
        <f>IFERROR(MID(VLOOKUP($B231,Seqs!$A:$B,2,0),AY231,1),"")</f>
        <v>S</v>
      </c>
      <c r="AY231" s="3">
        <v>399</v>
      </c>
      <c r="AZ231" s="77" t="str">
        <f>VLOOKUP(B231,Classification!A:D,2,0)</f>
        <v>A</v>
      </c>
      <c r="BA231" s="94" t="str">
        <f>VLOOKUP(B231,Classification!A:D,4,0)</f>
        <v>Dopamine</v>
      </c>
      <c r="BB231" s="27" t="b">
        <f t="shared" si="1232"/>
        <v>1</v>
      </c>
      <c r="BC231" s="23">
        <f t="shared" si="1986"/>
        <v>242</v>
      </c>
      <c r="BD231" s="2" t="s">
        <v>1372</v>
      </c>
      <c r="BE231" s="3" t="s">
        <v>1370</v>
      </c>
      <c r="BF231" s="118">
        <v>2.89</v>
      </c>
      <c r="BG231" s="49" t="s">
        <v>1373</v>
      </c>
      <c r="BH231" s="49" t="s">
        <v>1373</v>
      </c>
      <c r="BI231" s="1"/>
      <c r="BJ231" s="70" t="s">
        <v>1283</v>
      </c>
      <c r="BK231" s="57" t="s">
        <v>1283</v>
      </c>
      <c r="BL231" s="57" t="s">
        <v>1283</v>
      </c>
      <c r="BM231" s="57" t="s">
        <v>1283</v>
      </c>
      <c r="BN231" s="57" t="s">
        <v>1283</v>
      </c>
      <c r="BO231" s="57" t="s">
        <v>1283</v>
      </c>
      <c r="BP231" s="57" t="s">
        <v>1283</v>
      </c>
      <c r="BQ231" s="57" t="s">
        <v>1283</v>
      </c>
      <c r="BR231" s="57" t="s">
        <v>1283</v>
      </c>
      <c r="BS231" s="57" t="s">
        <v>1283</v>
      </c>
      <c r="BT231" s="57" t="s">
        <v>1283</v>
      </c>
      <c r="BU231" s="57" t="s">
        <v>1283</v>
      </c>
      <c r="BV231" s="70">
        <f t="shared" si="1987"/>
        <v>32</v>
      </c>
      <c r="BW231" s="71">
        <f t="shared" si="1988"/>
        <v>58</v>
      </c>
      <c r="BX231" s="72">
        <f t="shared" si="1989"/>
        <v>62</v>
      </c>
      <c r="BY231" s="71">
        <f t="shared" si="1990"/>
        <v>95</v>
      </c>
      <c r="BZ231" s="72">
        <f t="shared" si="1991"/>
        <v>99</v>
      </c>
      <c r="CA231" s="71">
        <f t="shared" si="1992"/>
        <v>135</v>
      </c>
      <c r="CB231" s="72">
        <f t="shared" si="1993"/>
        <v>146</v>
      </c>
      <c r="CC231" s="71">
        <f t="shared" si="1994"/>
        <v>181</v>
      </c>
      <c r="CD231" s="72">
        <f t="shared" si="1995"/>
        <v>185</v>
      </c>
      <c r="CE231" s="71">
        <f t="shared" si="1996"/>
        <v>323</v>
      </c>
      <c r="CF231" s="72">
        <f t="shared" si="1997"/>
        <v>361</v>
      </c>
      <c r="CG231" s="71">
        <f t="shared" si="1998"/>
        <v>387</v>
      </c>
      <c r="CH231" s="70">
        <f t="shared" si="1999"/>
        <v>57</v>
      </c>
      <c r="CI231" s="71">
        <f t="shared" si="2000"/>
        <v>61</v>
      </c>
      <c r="CJ231" s="72">
        <f t="shared" si="2001"/>
        <v>92</v>
      </c>
      <c r="CK231" s="72">
        <f t="shared" si="2002"/>
        <v>98</v>
      </c>
      <c r="CL231" s="72">
        <f t="shared" si="2003"/>
        <v>134</v>
      </c>
      <c r="CM231" s="72">
        <f t="shared" si="2004"/>
        <v>143</v>
      </c>
      <c r="CN231" s="72">
        <f t="shared" si="2005"/>
        <v>171</v>
      </c>
      <c r="CO231" s="72">
        <f t="shared" si="2006"/>
        <v>183</v>
      </c>
      <c r="CP231" s="72">
        <f t="shared" si="2007"/>
        <v>216</v>
      </c>
      <c r="CQ231" s="72">
        <f t="shared" si="2008"/>
        <v>354</v>
      </c>
      <c r="CR231" s="72">
        <f t="shared" si="2009"/>
        <v>386</v>
      </c>
      <c r="CS231" s="72">
        <f t="shared" si="2010"/>
        <v>399</v>
      </c>
      <c r="CT231" s="23">
        <f t="shared" si="2011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>CONCATENATE(B232,"_",C232)</f>
        <v>drd4_human__wt</v>
      </c>
      <c r="B232" s="3" t="s">
        <v>193</v>
      </c>
      <c r="C232" s="3" t="s">
        <v>100</v>
      </c>
      <c r="D232" s="3" t="str">
        <f>IFERROR(MID(VLOOKUP($B232,Seqs!$A:$B,2,0),E232,1),"")</f>
        <v>A</v>
      </c>
      <c r="E232" s="3">
        <v>31</v>
      </c>
      <c r="F232" s="3" t="str">
        <f>IFERROR(MID(VLOOKUP($B232,Seqs!$A:$B,2,0),G232,1),"")</f>
        <v>E</v>
      </c>
      <c r="G232" s="3">
        <v>62</v>
      </c>
      <c r="H232" s="3" t="str">
        <f>IFERROR(MID(VLOOKUP($B232,Seqs!$A:$B,2,0),I232,1),"")</f>
        <v>R</v>
      </c>
      <c r="I232" s="23">
        <v>63</v>
      </c>
      <c r="J232" s="3" t="str">
        <f>IFERROR(MID(VLOOKUP($B232,Seqs!$A:$B,2,0),K232,1),"")</f>
        <v>Q</v>
      </c>
      <c r="K232" s="23">
        <v>66</v>
      </c>
      <c r="L232" s="3" t="str">
        <f>IFERROR(MID(VLOOKUP($B232,Seqs!$A:$B,2,0),M232,1),"")</f>
        <v>T</v>
      </c>
      <c r="M232" s="3">
        <v>67</v>
      </c>
      <c r="N232" s="3" t="str">
        <f>IFERROR(MID(VLOOKUP($B232,Seqs!$A:$B,2,0),O232,1),"")</f>
        <v>G</v>
      </c>
      <c r="O232" s="105">
        <v>98</v>
      </c>
      <c r="P232" s="3" t="str">
        <f>IFERROR(MID(VLOOKUP($B232,Seqs!$A:$B,2,0),Q232,1),"")</f>
        <v>A</v>
      </c>
      <c r="Q232" s="3">
        <v>100</v>
      </c>
      <c r="R232" s="3" t="str">
        <f>IFERROR(MID(VLOOKUP($B232,Seqs!$A:$B,2,0),S232,1),"")</f>
        <v>L</v>
      </c>
      <c r="S232" s="3">
        <v>103</v>
      </c>
      <c r="T232" s="3" t="str">
        <f>IFERROR(MID(VLOOKUP($B232,Seqs!$A:$B,2,0),U232,1),"")</f>
        <v>S</v>
      </c>
      <c r="U232" s="3">
        <v>104</v>
      </c>
      <c r="V232" s="3" t="str">
        <f>IFERROR(MID(VLOOKUP($B232,Seqs!$A:$B,2,0),W232,1),"")</f>
        <v>V</v>
      </c>
      <c r="W232" s="3">
        <v>139</v>
      </c>
      <c r="X232" s="3" t="str">
        <f>IFERROR(MID(VLOOKUP($B232,Seqs!$A:$B,2,0),Y232,1),"")</f>
        <v>P</v>
      </c>
      <c r="Y232" s="3">
        <v>140</v>
      </c>
      <c r="Z232" s="3" t="str">
        <f>IFERROR(MID(VLOOKUP($B232,Seqs!$A:$B,2,0),AA232,1),"")</f>
        <v>G</v>
      </c>
      <c r="AA232" s="3">
        <v>147</v>
      </c>
      <c r="AB232" s="3" t="str">
        <f>IFERROR(MID(VLOOKUP($B232,Seqs!$A:$B,2,0),AC232,1),"")</f>
        <v>G</v>
      </c>
      <c r="AC232" s="3">
        <v>148</v>
      </c>
      <c r="AD232" s="3" t="str">
        <f>IFERROR(MID(VLOOKUP($B232,Seqs!$A:$B,2,0),AE232,1),"")</f>
        <v>G</v>
      </c>
      <c r="AE232" s="3">
        <v>173</v>
      </c>
      <c r="AF232" s="3" t="str">
        <f>IFERROR(MID(VLOOKUP($B232,Seqs!$A:$B,2,0),AG232,1),"")</f>
        <v>C</v>
      </c>
      <c r="AG232" s="3">
        <v>185</v>
      </c>
      <c r="AH232" s="3" t="str">
        <f>IFERROR(MID(VLOOKUP($B232,Seqs!$A:$B,2,0),AI232,1),"")</f>
        <v>L</v>
      </c>
      <c r="AI232" s="3">
        <v>187</v>
      </c>
      <c r="AJ232" s="3" t="str">
        <f>IFERROR(MID(VLOOKUP($B232,Seqs!$A:$B,2,0),AK232,1),"")</f>
        <v>D</v>
      </c>
      <c r="AK232" s="3">
        <v>189</v>
      </c>
      <c r="AL232" s="3" t="str">
        <f>IFERROR(MID(VLOOKUP($B232,Seqs!$A:$B,2,0),AM232,1),"")</f>
        <v>K</v>
      </c>
      <c r="AM232" s="3">
        <v>229</v>
      </c>
      <c r="AN232" s="3" t="str">
        <f>IFERROR(MID(VLOOKUP($B232,Seqs!$A:$B,2,0),AO232,1),"")</f>
        <v>A</v>
      </c>
      <c r="AO232" s="3">
        <v>383</v>
      </c>
      <c r="AP232" s="3" t="str">
        <f>IFERROR(MID(VLOOKUP($B232,Seqs!$A:$B,2,0),AQ232,1),"")</f>
        <v>C</v>
      </c>
      <c r="AQ232" s="3">
        <v>420</v>
      </c>
      <c r="AR232" s="3" t="str">
        <f>IFERROR(MID(VLOOKUP($B232,Seqs!$A:$B,2,0),AS232,1),"")</f>
        <v>P</v>
      </c>
      <c r="AS232" s="3">
        <v>426</v>
      </c>
      <c r="AT232" s="3" t="str">
        <f>IFERROR(MID(VLOOKUP($B232,Seqs!$A:$B,2,0),AU232,1),"")</f>
        <v>F</v>
      </c>
      <c r="AU232" s="3">
        <v>451</v>
      </c>
      <c r="AV232" s="3" t="str">
        <f>IFERROR(MID(VLOOKUP($B232,Seqs!$A:$B,2,0),AW232,1),"")</f>
        <v>N</v>
      </c>
      <c r="AW232" s="3">
        <v>452</v>
      </c>
      <c r="AX232" s="3" t="str">
        <f>IFERROR(MID(VLOOKUP($B232,Seqs!$A:$B,2,0),AY232,1),"")</f>
        <v>R</v>
      </c>
      <c r="AY232" s="3">
        <v>464</v>
      </c>
      <c r="AZ232" s="77" t="str">
        <f>VLOOKUP(B232,Classification!A:D,2,0)</f>
        <v>A</v>
      </c>
      <c r="BA232" s="94" t="str">
        <f>VLOOKUP(B232,Classification!A:D,4,0)</f>
        <v>Dopamine</v>
      </c>
      <c r="BB232" s="27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>_xlfn.AGGREGATE(9,6,CH232:CS232)-_xlfn.AGGREGATE(9,6,BV232:CG232)+12</f>
        <v>263</v>
      </c>
      <c r="BD232" s="2" t="s">
        <v>23</v>
      </c>
      <c r="BE232" s="3" t="s">
        <v>1370</v>
      </c>
      <c r="BF232" s="118" t="s">
        <v>23</v>
      </c>
      <c r="BG232" s="49" t="s">
        <v>1373</v>
      </c>
      <c r="BH232" s="49" t="s">
        <v>1373</v>
      </c>
      <c r="BI232" s="1"/>
      <c r="BJ232" s="70" t="s">
        <v>1283</v>
      </c>
      <c r="BK232" s="57" t="s">
        <v>1283</v>
      </c>
      <c r="BL232" s="57" t="s">
        <v>1283</v>
      </c>
      <c r="BM232" s="57" t="s">
        <v>1283</v>
      </c>
      <c r="BN232" s="57" t="s">
        <v>1283</v>
      </c>
      <c r="BO232" s="57" t="s">
        <v>1283</v>
      </c>
      <c r="BP232" s="57" t="s">
        <v>1283</v>
      </c>
      <c r="BQ232" s="57" t="s">
        <v>1283</v>
      </c>
      <c r="BR232" s="57" t="s">
        <v>1283</v>
      </c>
      <c r="BS232" s="57" t="s">
        <v>1283</v>
      </c>
      <c r="BT232" s="57" t="s">
        <v>1283</v>
      </c>
      <c r="BU232" s="57" t="s">
        <v>1283</v>
      </c>
      <c r="BV232" s="70">
        <f>E232</f>
        <v>31</v>
      </c>
      <c r="BW232" s="71">
        <f>I232</f>
        <v>63</v>
      </c>
      <c r="BX232" s="72">
        <f>M232</f>
        <v>67</v>
      </c>
      <c r="BY232" s="71">
        <f>Q232</f>
        <v>100</v>
      </c>
      <c r="BZ232" s="72">
        <f>U232</f>
        <v>104</v>
      </c>
      <c r="CA232" s="71">
        <f>Y232</f>
        <v>140</v>
      </c>
      <c r="CB232" s="72">
        <f>AC232</f>
        <v>148</v>
      </c>
      <c r="CC232" s="71">
        <f>AG232</f>
        <v>185</v>
      </c>
      <c r="CD232" s="72">
        <f>AK232</f>
        <v>189</v>
      </c>
      <c r="CE232" s="71">
        <f>AO232</f>
        <v>383</v>
      </c>
      <c r="CF232" s="72">
        <f>AS232</f>
        <v>426</v>
      </c>
      <c r="CG232" s="71">
        <f>AW232</f>
        <v>452</v>
      </c>
      <c r="CH232" s="70">
        <f>G232</f>
        <v>62</v>
      </c>
      <c r="CI232" s="71">
        <f>K232</f>
        <v>66</v>
      </c>
      <c r="CJ232" s="72">
        <f>O232</f>
        <v>98</v>
      </c>
      <c r="CK232" s="72">
        <f>S232</f>
        <v>103</v>
      </c>
      <c r="CL232" s="72">
        <f>W232</f>
        <v>139</v>
      </c>
      <c r="CM232" s="72">
        <f>AA232</f>
        <v>147</v>
      </c>
      <c r="CN232" s="72">
        <f>AE232</f>
        <v>173</v>
      </c>
      <c r="CO232" s="72">
        <f>AI232</f>
        <v>187</v>
      </c>
      <c r="CP232" s="72">
        <f>AM232</f>
        <v>229</v>
      </c>
      <c r="CQ232" s="72">
        <f>AQ232</f>
        <v>420</v>
      </c>
      <c r="CR232" s="72">
        <f>AU232</f>
        <v>451</v>
      </c>
      <c r="CS232" s="72">
        <f>AY232</f>
        <v>464</v>
      </c>
      <c r="CT232" s="23">
        <f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>CONCATENATE(B233,"_",C233)</f>
        <v>drd4_human_5WIU</v>
      </c>
      <c r="B233" s="3" t="s">
        <v>193</v>
      </c>
      <c r="C233" s="3" t="s">
        <v>1440</v>
      </c>
      <c r="D233" s="3" t="str">
        <f>IFERROR(MID(VLOOKUP($B233,Seqs!$A:$B,2,0),E233,1),"")</f>
        <v>G</v>
      </c>
      <c r="E233" s="3">
        <v>34</v>
      </c>
      <c r="F233" s="3" t="str">
        <f>IFERROR(MID(VLOOKUP($B233,Seqs!$A:$B,2,0),G233,1),"")</f>
        <v>E</v>
      </c>
      <c r="G233" s="3">
        <v>62</v>
      </c>
      <c r="H233" s="3" t="str">
        <f>IFERROR(MID(VLOOKUP($B233,Seqs!$A:$B,2,0),I233,1),"")</f>
        <v>R</v>
      </c>
      <c r="I233" s="23">
        <v>63</v>
      </c>
      <c r="J233" s="3" t="str">
        <f>IFERROR(MID(VLOOKUP($B233,Seqs!$A:$B,2,0),K233,1),"")</f>
        <v>Q</v>
      </c>
      <c r="K233" s="23">
        <v>66</v>
      </c>
      <c r="L233" s="3" t="str">
        <f>IFERROR(MID(VLOOKUP($B233,Seqs!$A:$B,2,0),M233,1),"")</f>
        <v>T</v>
      </c>
      <c r="M233" s="3">
        <v>67</v>
      </c>
      <c r="N233" s="3" t="str">
        <f>IFERROR(MID(VLOOKUP($B233,Seqs!$A:$B,2,0),O233,1),"")</f>
        <v>G</v>
      </c>
      <c r="O233" s="3">
        <v>98</v>
      </c>
      <c r="P233" s="3" t="str">
        <f>IFERROR(MID(VLOOKUP($B233,Seqs!$A:$B,2,0),Q233,1),"")</f>
        <v>A</v>
      </c>
      <c r="Q233" s="3">
        <v>100</v>
      </c>
      <c r="R233" s="3" t="str">
        <f>IFERROR(MID(VLOOKUP($B233,Seqs!$A:$B,2,0),S233,1),"")</f>
        <v>L</v>
      </c>
      <c r="S233" s="3">
        <v>103</v>
      </c>
      <c r="T233" s="3" t="str">
        <f>IFERROR(MID(VLOOKUP($B233,Seqs!$A:$B,2,0),U233,1),"")</f>
        <v>S</v>
      </c>
      <c r="U233" s="3">
        <v>104</v>
      </c>
      <c r="V233" s="3" t="str">
        <f>IFERROR(MID(VLOOKUP($B233,Seqs!$A:$B,2,0),W233,1),"")</f>
        <v>V</v>
      </c>
      <c r="W233" s="3">
        <v>139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R</v>
      </c>
      <c r="AC233" s="3">
        <v>150</v>
      </c>
      <c r="AD233" s="3" t="str">
        <f>IFERROR(MID(VLOOKUP($B233,Seqs!$A:$B,2,0),AE233,1),"")</f>
        <v>G</v>
      </c>
      <c r="AE233" s="3">
        <v>173</v>
      </c>
      <c r="AF233" s="3" t="str">
        <f>IFERROR(MID(VLOOKUP($B233,Seqs!$A:$B,2,0),AG233,1),"")</f>
        <v>C</v>
      </c>
      <c r="AG233" s="3">
        <v>185</v>
      </c>
      <c r="AH233" s="3" t="str">
        <f>IFERROR(MID(VLOOKUP($B233,Seqs!$A:$B,2,0),AI233,1),"")</f>
        <v>L</v>
      </c>
      <c r="AI233" s="3">
        <v>187</v>
      </c>
      <c r="AJ233" s="3" t="str">
        <f>IFERROR(MID(VLOOKUP($B233,Seqs!$A:$B,2,0),AK233,1),"")</f>
        <v>D</v>
      </c>
      <c r="AK233" s="3">
        <v>189</v>
      </c>
      <c r="AL233" s="3" t="str">
        <f>IFERROR(MID(VLOOKUP($B233,Seqs!$A:$B,2,0),AM233,1),"")</f>
        <v>W</v>
      </c>
      <c r="AM233" s="3">
        <v>222</v>
      </c>
      <c r="AN233" s="3" t="str">
        <f>IFERROR(MID(VLOOKUP($B233,Seqs!$A:$B,2,0),AO233,1),"")</f>
        <v>V</v>
      </c>
      <c r="AO233" s="3">
        <v>395</v>
      </c>
      <c r="AP233" s="3" t="str">
        <f>IFERROR(MID(VLOOKUP($B233,Seqs!$A:$B,2,0),AQ233,1),"")</f>
        <v>C</v>
      </c>
      <c r="AQ233" s="3">
        <v>420</v>
      </c>
      <c r="AR233" s="3" t="str">
        <f>IFERROR(MID(VLOOKUP($B233,Seqs!$A:$B,2,0),AS233,1),"")</f>
        <v>P</v>
      </c>
      <c r="AS233" s="3">
        <v>426</v>
      </c>
      <c r="AT233" s="3" t="str">
        <f>IFERROR(MID(VLOOKUP($B233,Seqs!$A:$B,2,0),AU233,1),"")</f>
        <v>F</v>
      </c>
      <c r="AU233" s="3">
        <v>451</v>
      </c>
      <c r="AV233" s="3" t="str">
        <f>IFERROR(MID(VLOOKUP($B233,Seqs!$A:$B,2,0),AW233,1),"")</f>
        <v>N</v>
      </c>
      <c r="AW233" s="3">
        <v>452</v>
      </c>
      <c r="AX233" s="3" t="str">
        <f>IFERROR(MID(VLOOKUP($B233,Seqs!$A:$B,2,0),AY233,1),"")</f>
        <v>R</v>
      </c>
      <c r="AY233" s="3">
        <v>460</v>
      </c>
      <c r="AZ233" s="77" t="str">
        <f>VLOOKUP(B233,Classification!A:D,2,0)</f>
        <v>A</v>
      </c>
      <c r="BA233" s="94" t="str">
        <f>VLOOKUP(B233,Classification!A:D,4,0)</f>
        <v>Dopamine</v>
      </c>
      <c r="BB233" s="27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>_xlfn.AGGREGATE(9,6,CH233:CS233)-_xlfn.AGGREGATE(9,6,BV233:CG233)+12</f>
        <v>228</v>
      </c>
      <c r="BD233" s="2" t="s">
        <v>23</v>
      </c>
      <c r="BE233" s="3" t="s">
        <v>1370</v>
      </c>
      <c r="BF233" s="118">
        <v>1.96</v>
      </c>
      <c r="BG233" s="49" t="s">
        <v>1</v>
      </c>
      <c r="BH233" s="49" t="s">
        <v>1373</v>
      </c>
      <c r="BI233" s="1"/>
      <c r="BJ233" s="70" t="s">
        <v>1283</v>
      </c>
      <c r="BK233" s="57" t="s">
        <v>1283</v>
      </c>
      <c r="BL233" s="57" t="s">
        <v>1283</v>
      </c>
      <c r="BM233" s="57" t="s">
        <v>1283</v>
      </c>
      <c r="BN233" s="57" t="s">
        <v>1283</v>
      </c>
      <c r="BO233" s="57" t="s">
        <v>1283</v>
      </c>
      <c r="BP233" s="57" t="s">
        <v>1283</v>
      </c>
      <c r="BQ233" s="57" t="s">
        <v>1283</v>
      </c>
      <c r="BR233" s="57" t="s">
        <v>1283</v>
      </c>
      <c r="BS233" s="57" t="s">
        <v>1283</v>
      </c>
      <c r="BT233" s="57" t="s">
        <v>1283</v>
      </c>
      <c r="BU233" s="57" t="s">
        <v>1283</v>
      </c>
      <c r="BV233" s="70">
        <f>E233</f>
        <v>34</v>
      </c>
      <c r="BW233" s="71">
        <f>I233</f>
        <v>63</v>
      </c>
      <c r="BX233" s="72">
        <f>M233</f>
        <v>67</v>
      </c>
      <c r="BY233" s="71">
        <f>Q233</f>
        <v>100</v>
      </c>
      <c r="BZ233" s="72">
        <f>U233</f>
        <v>104</v>
      </c>
      <c r="CA233" s="71" t="str">
        <f>Y233</f>
        <v>-</v>
      </c>
      <c r="CB233" s="72">
        <f>AC233</f>
        <v>150</v>
      </c>
      <c r="CC233" s="71">
        <f>AG233</f>
        <v>185</v>
      </c>
      <c r="CD233" s="72">
        <f>AK233</f>
        <v>189</v>
      </c>
      <c r="CE233" s="71">
        <f>AO233</f>
        <v>395</v>
      </c>
      <c r="CF233" s="72">
        <f>AS233</f>
        <v>426</v>
      </c>
      <c r="CG233" s="71">
        <f>AW233</f>
        <v>452</v>
      </c>
      <c r="CH233" s="70">
        <f>G233</f>
        <v>62</v>
      </c>
      <c r="CI233" s="71">
        <f>K233</f>
        <v>66</v>
      </c>
      <c r="CJ233" s="72">
        <f>O233</f>
        <v>98</v>
      </c>
      <c r="CK233" s="72">
        <f>S233</f>
        <v>103</v>
      </c>
      <c r="CL233" s="72">
        <f>W233</f>
        <v>139</v>
      </c>
      <c r="CM233" s="72" t="str">
        <f>AA233</f>
        <v>-</v>
      </c>
      <c r="CN233" s="72">
        <f>AE233</f>
        <v>173</v>
      </c>
      <c r="CO233" s="72">
        <f>AI233</f>
        <v>187</v>
      </c>
      <c r="CP233" s="72">
        <f>AM233</f>
        <v>222</v>
      </c>
      <c r="CQ233" s="72">
        <f>AQ233</f>
        <v>420</v>
      </c>
      <c r="CR233" s="72">
        <f>AU233</f>
        <v>451</v>
      </c>
      <c r="CS233" s="72">
        <f>AY233</f>
        <v>460</v>
      </c>
      <c r="CT233" s="23">
        <f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>CONCATENATE(B234,"_",C234)</f>
        <v>drd4_human_5WIV</v>
      </c>
      <c r="B234" s="3" t="s">
        <v>193</v>
      </c>
      <c r="C234" s="3" t="s">
        <v>1442</v>
      </c>
      <c r="D234" s="3" t="str">
        <f>IFERROR(MID(VLOOKUP($B234,Seqs!$A:$B,2,0),E234,1),"")</f>
        <v>G</v>
      </c>
      <c r="E234" s="3">
        <v>32</v>
      </c>
      <c r="F234" s="3" t="str">
        <f>IFERROR(MID(VLOOKUP($B234,Seqs!$A:$B,2,0),G234,1),"")</f>
        <v>E</v>
      </c>
      <c r="G234" s="3">
        <v>62</v>
      </c>
      <c r="H234" s="3" t="str">
        <f>IFERROR(MID(VLOOKUP($B234,Seqs!$A:$B,2,0),I234,1),"")</f>
        <v>R</v>
      </c>
      <c r="I234" s="23">
        <v>63</v>
      </c>
      <c r="J234" s="3" t="str">
        <f>IFERROR(MID(VLOOKUP($B234,Seqs!$A:$B,2,0),K234,1),"")</f>
        <v>Q</v>
      </c>
      <c r="K234" s="23">
        <v>66</v>
      </c>
      <c r="L234" s="3" t="str">
        <f>IFERROR(MID(VLOOKUP($B234,Seqs!$A:$B,2,0),M234,1),"")</f>
        <v>T</v>
      </c>
      <c r="M234" s="3">
        <v>67</v>
      </c>
      <c r="N234" s="3" t="str">
        <f>IFERROR(MID(VLOOKUP($B234,Seqs!$A:$B,2,0),O234,1),"")</f>
        <v>G</v>
      </c>
      <c r="O234" s="3">
        <v>98</v>
      </c>
      <c r="P234" s="3" t="str">
        <f>IFERROR(MID(VLOOKUP($B234,Seqs!$A:$B,2,0),Q234,1),"")</f>
        <v>A</v>
      </c>
      <c r="Q234" s="3">
        <v>100</v>
      </c>
      <c r="R234" s="3" t="str">
        <f>IFERROR(MID(VLOOKUP($B234,Seqs!$A:$B,2,0),S234,1),"")</f>
        <v>L</v>
      </c>
      <c r="S234" s="3">
        <v>103</v>
      </c>
      <c r="T234" s="3" t="str">
        <f>IFERROR(MID(VLOOKUP($B234,Seqs!$A:$B,2,0),U234,1),"")</f>
        <v>S</v>
      </c>
      <c r="U234" s="3">
        <v>104</v>
      </c>
      <c r="V234" s="3" t="str">
        <f>IFERROR(MID(VLOOKUP($B234,Seqs!$A:$B,2,0),W234,1),"")</f>
        <v>V</v>
      </c>
      <c r="W234" s="3">
        <v>139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R</v>
      </c>
      <c r="AC234" s="3">
        <v>150</v>
      </c>
      <c r="AD234" s="3" t="str">
        <f>IFERROR(MID(VLOOKUP($B234,Seqs!$A:$B,2,0),AE234,1),"")</f>
        <v>G</v>
      </c>
      <c r="AE234" s="3">
        <v>173</v>
      </c>
      <c r="AF234" s="3" t="str">
        <f>IFERROR(MID(VLOOKUP($B234,Seqs!$A:$B,2,0),AG234,1),"")</f>
        <v>C</v>
      </c>
      <c r="AG234" s="3">
        <v>185</v>
      </c>
      <c r="AH234" s="3" t="str">
        <f>IFERROR(MID(VLOOKUP($B234,Seqs!$A:$B,2,0),AI234,1),"")</f>
        <v>L</v>
      </c>
      <c r="AI234" s="3">
        <v>187</v>
      </c>
      <c r="AJ234" s="3" t="str">
        <f>IFERROR(MID(VLOOKUP($B234,Seqs!$A:$B,2,0),AK234,1),"")</f>
        <v>D</v>
      </c>
      <c r="AK234" s="3">
        <v>189</v>
      </c>
      <c r="AL234" s="3" t="str">
        <f>IFERROR(MID(VLOOKUP($B234,Seqs!$A:$B,2,0),AM234,1),"")</f>
        <v>W</v>
      </c>
      <c r="AM234" s="3">
        <v>222</v>
      </c>
      <c r="AN234" s="3" t="str">
        <f>IFERROR(MID(VLOOKUP($B234,Seqs!$A:$B,2,0),AO234,1),"")</f>
        <v>V</v>
      </c>
      <c r="AO234" s="3">
        <v>395</v>
      </c>
      <c r="AP234" s="3" t="str">
        <f>IFERROR(MID(VLOOKUP($B234,Seqs!$A:$B,2,0),AQ234,1),"")</f>
        <v>C</v>
      </c>
      <c r="AQ234" s="3">
        <v>420</v>
      </c>
      <c r="AR234" s="3" t="str">
        <f>IFERROR(MID(VLOOKUP($B234,Seqs!$A:$B,2,0),AS234,1),"")</f>
        <v>P</v>
      </c>
      <c r="AS234" s="3">
        <v>426</v>
      </c>
      <c r="AT234" s="3" t="str">
        <f>IFERROR(MID(VLOOKUP($B234,Seqs!$A:$B,2,0),AU234,1),"")</f>
        <v>F</v>
      </c>
      <c r="AU234" s="3">
        <v>451</v>
      </c>
      <c r="AV234" s="3" t="str">
        <f>IFERROR(MID(VLOOKUP($B234,Seqs!$A:$B,2,0),AW234,1),"")</f>
        <v>N</v>
      </c>
      <c r="AW234" s="3">
        <v>452</v>
      </c>
      <c r="AX234" s="3" t="str">
        <f>IFERROR(MID(VLOOKUP($B234,Seqs!$A:$B,2,0),AY234,1),"")</f>
        <v>A</v>
      </c>
      <c r="AY234" s="3">
        <v>462</v>
      </c>
      <c r="AZ234" s="77" t="str">
        <f>VLOOKUP(B234,Classification!A:D,2,0)</f>
        <v>A</v>
      </c>
      <c r="BA234" s="94" t="str">
        <f>VLOOKUP(B234,Classification!A:D,4,0)</f>
        <v>Dopamine</v>
      </c>
      <c r="BB234" s="27" t="b">
        <f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>_xlfn.AGGREGATE(9,6,CH234:CS234)-_xlfn.AGGREGATE(9,6,BV234:CG234)+12</f>
        <v>232</v>
      </c>
      <c r="BD234" s="2" t="s">
        <v>1372</v>
      </c>
      <c r="BE234" s="3" t="s">
        <v>1370</v>
      </c>
      <c r="BF234" s="118">
        <v>2.14</v>
      </c>
      <c r="BG234" s="49" t="s">
        <v>1</v>
      </c>
      <c r="BH234" s="49" t="s">
        <v>1373</v>
      </c>
      <c r="BI234" s="1"/>
      <c r="BJ234" s="70" t="s">
        <v>1283</v>
      </c>
      <c r="BK234" s="57" t="s">
        <v>1283</v>
      </c>
      <c r="BL234" s="57" t="s">
        <v>1283</v>
      </c>
      <c r="BM234" s="57" t="s">
        <v>1283</v>
      </c>
      <c r="BN234" s="57" t="s">
        <v>1283</v>
      </c>
      <c r="BO234" s="57" t="s">
        <v>1283</v>
      </c>
      <c r="BP234" s="57" t="s">
        <v>1283</v>
      </c>
      <c r="BQ234" s="57" t="s">
        <v>1283</v>
      </c>
      <c r="BR234" s="57" t="s">
        <v>1283</v>
      </c>
      <c r="BS234" s="57" t="s">
        <v>1283</v>
      </c>
      <c r="BT234" s="57" t="s">
        <v>1283</v>
      </c>
      <c r="BU234" s="57" t="s">
        <v>1283</v>
      </c>
      <c r="BV234" s="70">
        <f>E234</f>
        <v>32</v>
      </c>
      <c r="BW234" s="71">
        <f>I234</f>
        <v>63</v>
      </c>
      <c r="BX234" s="72">
        <f>M234</f>
        <v>67</v>
      </c>
      <c r="BY234" s="71">
        <f>Q234</f>
        <v>100</v>
      </c>
      <c r="BZ234" s="72">
        <f>U234</f>
        <v>104</v>
      </c>
      <c r="CA234" s="71" t="str">
        <f>Y234</f>
        <v>-</v>
      </c>
      <c r="CB234" s="72">
        <f>AC234</f>
        <v>150</v>
      </c>
      <c r="CC234" s="71">
        <f>AG234</f>
        <v>185</v>
      </c>
      <c r="CD234" s="72">
        <f>AK234</f>
        <v>189</v>
      </c>
      <c r="CE234" s="71">
        <f>AO234</f>
        <v>395</v>
      </c>
      <c r="CF234" s="72">
        <f>AS234</f>
        <v>426</v>
      </c>
      <c r="CG234" s="71">
        <f>AW234</f>
        <v>452</v>
      </c>
      <c r="CH234" s="70">
        <f>G234</f>
        <v>62</v>
      </c>
      <c r="CI234" s="71">
        <f>K234</f>
        <v>66</v>
      </c>
      <c r="CJ234" s="72">
        <f>O234</f>
        <v>98</v>
      </c>
      <c r="CK234" s="72">
        <f>S234</f>
        <v>103</v>
      </c>
      <c r="CL234" s="72">
        <f>W234</f>
        <v>139</v>
      </c>
      <c r="CM234" s="72" t="str">
        <f>AA234</f>
        <v>-</v>
      </c>
      <c r="CN234" s="72">
        <f>AE234</f>
        <v>173</v>
      </c>
      <c r="CO234" s="72">
        <f>AI234</f>
        <v>187</v>
      </c>
      <c r="CP234" s="72">
        <f>AM234</f>
        <v>222</v>
      </c>
      <c r="CQ234" s="72">
        <f>AQ234</f>
        <v>420</v>
      </c>
      <c r="CR234" s="72">
        <f>AU234</f>
        <v>451</v>
      </c>
      <c r="CS234" s="72">
        <f>AY234</f>
        <v>462</v>
      </c>
      <c r="CT234" s="23">
        <f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s="12" customFormat="1" x14ac:dyDescent="0.2">
      <c r="A235" s="9" t="str">
        <f>CONCATENATE(B235,"_",C235)</f>
        <v>drd4_mouse__wt</v>
      </c>
      <c r="B235" s="9" t="s">
        <v>1690</v>
      </c>
      <c r="C235" s="9" t="s">
        <v>100</v>
      </c>
      <c r="D235" s="9" t="str">
        <f>IFERROR(MID(VLOOKUP($B235,Seqs!$A:$B,2,0),E235,1),"")</f>
        <v>G</v>
      </c>
      <c r="E235" s="9">
        <v>28</v>
      </c>
      <c r="F235" s="9" t="str">
        <f>IFERROR(MID(VLOOKUP($B235,Seqs!$A:$B,2,0),G235,1),"")</f>
        <v>E</v>
      </c>
      <c r="G235" s="9">
        <v>59</v>
      </c>
      <c r="H235" s="9" t="str">
        <f>IFERROR(MID(VLOOKUP($B235,Seqs!$A:$B,2,0),I235,1),"")</f>
        <v>R</v>
      </c>
      <c r="I235" s="109">
        <v>60</v>
      </c>
      <c r="J235" s="9" t="str">
        <f>IFERROR(MID(VLOOKUP($B235,Seqs!$A:$B,2,0),K235,1),"")</f>
        <v>Q</v>
      </c>
      <c r="K235" s="109">
        <v>63</v>
      </c>
      <c r="L235" s="9" t="str">
        <f>IFERROR(MID(VLOOKUP($B235,Seqs!$A:$B,2,0),M235,1),"")</f>
        <v>T</v>
      </c>
      <c r="M235" s="9">
        <v>64</v>
      </c>
      <c r="N235" s="9" t="str">
        <f>IFERROR(MID(VLOOKUP($B235,Seqs!$A:$B,2,0),O235,1),"")</f>
        <v>G</v>
      </c>
      <c r="O235" s="9">
        <v>95</v>
      </c>
      <c r="P235" s="9" t="str">
        <f>IFERROR(MID(VLOOKUP($B235,Seqs!$A:$B,2,0),Q235,1),"")</f>
        <v>V</v>
      </c>
      <c r="Q235" s="9">
        <v>97</v>
      </c>
      <c r="R235" s="9" t="str">
        <f>IFERROR(MID(VLOOKUP($B235,Seqs!$A:$B,2,0),S235,1),"")</f>
        <v>L</v>
      </c>
      <c r="S235" s="9">
        <v>100</v>
      </c>
      <c r="T235" s="9" t="str">
        <f>IFERROR(MID(VLOOKUP($B235,Seqs!$A:$B,2,0),U235,1),"")</f>
        <v>S</v>
      </c>
      <c r="U235" s="9">
        <v>101</v>
      </c>
      <c r="V235" s="9" t="str">
        <f>IFERROR(MID(VLOOKUP($B235,Seqs!$A:$B,2,0),W235,1),"")</f>
        <v>V</v>
      </c>
      <c r="W235" s="9">
        <v>136</v>
      </c>
      <c r="X235" s="9" t="str">
        <f>IFERROR(MID(VLOOKUP($B235,Seqs!$A:$B,2,0),Y235,1),"")</f>
        <v>P</v>
      </c>
      <c r="Y235" s="9">
        <v>137</v>
      </c>
      <c r="Z235" s="9" t="str">
        <f>IFERROR(MID(VLOOKUP($B235,Seqs!$A:$B,2,0),AA235,1),"")</f>
        <v>Y</v>
      </c>
      <c r="AA235" s="9">
        <v>140</v>
      </c>
      <c r="AB235" s="9" t="str">
        <f>IFERROR(MID(VLOOKUP($B235,Seqs!$A:$B,2,0),AC235,1),"")</f>
        <v>N</v>
      </c>
      <c r="AC235" s="9">
        <v>141</v>
      </c>
      <c r="AD235" s="9" t="str">
        <f>IFERROR(MID(VLOOKUP($B235,Seqs!$A:$B,2,0),AE235,1),"")</f>
        <v>G</v>
      </c>
      <c r="AE235" s="9">
        <v>168</v>
      </c>
      <c r="AF235" s="9" t="str">
        <f>IFERROR(MID(VLOOKUP($B235,Seqs!$A:$B,2,0),AG235,1),"")</f>
        <v>C</v>
      </c>
      <c r="AG235" s="9">
        <v>180</v>
      </c>
      <c r="AH235" s="9" t="str">
        <f>IFERROR(MID(VLOOKUP($B235,Seqs!$A:$B,2,0),AI235,1),"")</f>
        <v>L</v>
      </c>
      <c r="AI235" s="9">
        <v>182</v>
      </c>
      <c r="AJ235" s="9" t="str">
        <f>IFERROR(MID(VLOOKUP($B235,Seqs!$A:$B,2,0),AK235,1),"")</f>
        <v>N</v>
      </c>
      <c r="AK235" s="9">
        <v>184</v>
      </c>
      <c r="AL235" s="9" t="str">
        <f>IFERROR(MID(VLOOKUP($B235,Seqs!$A:$B,2,0),AM235,1),"")</f>
        <v>L</v>
      </c>
      <c r="AM235" s="9">
        <v>225</v>
      </c>
      <c r="AN235" s="9" t="str">
        <f>IFERROR(MID(VLOOKUP($B235,Seqs!$A:$B,2,0),AO235,1),"")</f>
        <v>A</v>
      </c>
      <c r="AO235" s="9">
        <v>303</v>
      </c>
      <c r="AP235" s="9" t="str">
        <f>IFERROR(MID(VLOOKUP($B235,Seqs!$A:$B,2,0),AQ235,1),"")</f>
        <v>C</v>
      </c>
      <c r="AQ235" s="9">
        <v>340</v>
      </c>
      <c r="AR235" s="9" t="str">
        <f>IFERROR(MID(VLOOKUP($B235,Seqs!$A:$B,2,0),AS235,1),"")</f>
        <v>S</v>
      </c>
      <c r="AS235" s="9">
        <v>346</v>
      </c>
      <c r="AT235" s="9" t="str">
        <f>IFERROR(MID(VLOOKUP($B235,Seqs!$A:$B,2,0),AU235,1),"")</f>
        <v>F</v>
      </c>
      <c r="AU235" s="9">
        <v>371</v>
      </c>
      <c r="AV235" s="9" t="str">
        <f>IFERROR(MID(VLOOKUP($B235,Seqs!$A:$B,2,0),AW235,1),"")</f>
        <v>N</v>
      </c>
      <c r="AW235" s="9">
        <v>372</v>
      </c>
      <c r="AX235" s="9" t="str">
        <f>IFERROR(MID(VLOOKUP($B235,Seqs!$A:$B,2,0),AY235,1),"")</f>
        <v>R</v>
      </c>
      <c r="AY235" s="9">
        <v>384</v>
      </c>
      <c r="AZ235" s="110" t="str">
        <f>VLOOKUP(B235,Classification!A:D,2,0)</f>
        <v>A</v>
      </c>
      <c r="BA235" s="98" t="str">
        <f>VLOOKUP(B235,Classification!A:D,4,0)</f>
        <v>Dopamine</v>
      </c>
      <c r="BB235" s="36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>_xlfn.AGGREGATE(9,6,CH235:CS235)-_xlfn.AGGREGATE(9,6,BV235:CG235)+12</f>
        <v>262</v>
      </c>
      <c r="BD235" s="40" t="s">
        <v>23</v>
      </c>
      <c r="BE235" s="9" t="s">
        <v>23</v>
      </c>
      <c r="BF235" s="119" t="s">
        <v>23</v>
      </c>
      <c r="BG235" s="51" t="s">
        <v>23</v>
      </c>
      <c r="BH235" s="51" t="s">
        <v>23</v>
      </c>
      <c r="BJ235" s="111" t="s">
        <v>1283</v>
      </c>
      <c r="BK235" s="112" t="s">
        <v>1283</v>
      </c>
      <c r="BL235" s="112" t="s">
        <v>1283</v>
      </c>
      <c r="BM235" s="112" t="s">
        <v>1283</v>
      </c>
      <c r="BN235" s="112" t="s">
        <v>1283</v>
      </c>
      <c r="BO235" s="112" t="s">
        <v>1283</v>
      </c>
      <c r="BP235" s="112" t="s">
        <v>1283</v>
      </c>
      <c r="BQ235" s="112" t="s">
        <v>1283</v>
      </c>
      <c r="BR235" s="112" t="s">
        <v>1283</v>
      </c>
      <c r="BS235" s="112" t="s">
        <v>1283</v>
      </c>
      <c r="BT235" s="112" t="s">
        <v>1283</v>
      </c>
      <c r="BU235" s="112" t="s">
        <v>1283</v>
      </c>
      <c r="BV235" s="111">
        <f>E235</f>
        <v>28</v>
      </c>
      <c r="BW235" s="113">
        <f>I235</f>
        <v>60</v>
      </c>
      <c r="BX235" s="114">
        <f>M235</f>
        <v>64</v>
      </c>
      <c r="BY235" s="113">
        <f>Q235</f>
        <v>97</v>
      </c>
      <c r="BZ235" s="114">
        <f>U235</f>
        <v>101</v>
      </c>
      <c r="CA235" s="113">
        <f>Y235</f>
        <v>137</v>
      </c>
      <c r="CB235" s="114">
        <f>AC235</f>
        <v>141</v>
      </c>
      <c r="CC235" s="113">
        <f>AG235</f>
        <v>180</v>
      </c>
      <c r="CD235" s="114">
        <f>AK235</f>
        <v>184</v>
      </c>
      <c r="CE235" s="113">
        <f>AO235</f>
        <v>303</v>
      </c>
      <c r="CF235" s="114">
        <f>AS235</f>
        <v>346</v>
      </c>
      <c r="CG235" s="113">
        <f>AW235</f>
        <v>372</v>
      </c>
      <c r="CH235" s="111">
        <f>G235</f>
        <v>59</v>
      </c>
      <c r="CI235" s="113">
        <f>K235</f>
        <v>63</v>
      </c>
      <c r="CJ235" s="114">
        <f>O235</f>
        <v>95</v>
      </c>
      <c r="CK235" s="114">
        <f>S235</f>
        <v>100</v>
      </c>
      <c r="CL235" s="114">
        <f>W235</f>
        <v>136</v>
      </c>
      <c r="CM235" s="114">
        <f>AA235</f>
        <v>140</v>
      </c>
      <c r="CN235" s="114">
        <f>AE235</f>
        <v>168</v>
      </c>
      <c r="CO235" s="114">
        <f>AI235</f>
        <v>182</v>
      </c>
      <c r="CP235" s="114">
        <f>AM235</f>
        <v>225</v>
      </c>
      <c r="CQ235" s="114">
        <f>AQ235</f>
        <v>340</v>
      </c>
      <c r="CR235" s="114">
        <f>AU235</f>
        <v>371</v>
      </c>
      <c r="CS235" s="114">
        <f>AY235</f>
        <v>384</v>
      </c>
      <c r="CT235" s="109">
        <f>M235-K235</f>
        <v>1</v>
      </c>
    </row>
    <row r="236" spans="1:1029" s="12" customFormat="1" x14ac:dyDescent="0.2">
      <c r="A236" s="9" t="str">
        <f>CONCATENATE(B236,"_",C236)</f>
        <v>drd4_mouse_6IQL</v>
      </c>
      <c r="B236" s="9" t="s">
        <v>1690</v>
      </c>
      <c r="C236" s="9" t="s">
        <v>1682</v>
      </c>
      <c r="D236" s="9" t="str">
        <f>IFERROR(MID(VLOOKUP($B236,Seqs!$A:$B,2,0),E236,1),"")</f>
        <v>A</v>
      </c>
      <c r="E236" s="9">
        <v>32</v>
      </c>
      <c r="F236" s="9" t="str">
        <f>IFERROR(MID(VLOOKUP($B236,Seqs!$A:$B,2,0),G236,1),"")</f>
        <v>E</v>
      </c>
      <c r="G236" s="9">
        <v>59</v>
      </c>
      <c r="H236" s="9" t="str">
        <f>IFERROR(MID(VLOOKUP($B236,Seqs!$A:$B,2,0),I236,1),"")</f>
        <v/>
      </c>
      <c r="I236" s="109" t="s">
        <v>23</v>
      </c>
      <c r="J236" s="9" t="str">
        <f>IFERROR(MID(VLOOKUP($B236,Seqs!$A:$B,2,0),K236,1),"")</f>
        <v/>
      </c>
      <c r="K236" s="109" t="s">
        <v>23</v>
      </c>
      <c r="L236" s="9" t="str">
        <f>IFERROR(MID(VLOOKUP($B236,Seqs!$A:$B,2,0),M236,1),"")</f>
        <v>T</v>
      </c>
      <c r="M236" s="9">
        <v>64</v>
      </c>
      <c r="N236" s="9" t="str">
        <f>IFERROR(MID(VLOOKUP($B236,Seqs!$A:$B,2,0),O236,1),"")</f>
        <v>Q</v>
      </c>
      <c r="O236" s="9">
        <v>94</v>
      </c>
      <c r="P236" s="9" t="str">
        <f>IFERROR(MID(VLOOKUP($B236,Seqs!$A:$B,2,0),Q236,1),"")</f>
        <v>V</v>
      </c>
      <c r="Q236" s="9">
        <v>97</v>
      </c>
      <c r="R236" s="9" t="str">
        <f>IFERROR(MID(VLOOKUP($B236,Seqs!$A:$B,2,0),S236,1),"")</f>
        <v>L</v>
      </c>
      <c r="S236" s="9">
        <v>100</v>
      </c>
      <c r="T236" s="9" t="str">
        <f>IFERROR(MID(VLOOKUP($B236,Seqs!$A:$B,2,0),U236,1),"")</f>
        <v>P</v>
      </c>
      <c r="U236" s="9">
        <v>102</v>
      </c>
      <c r="V236" s="9" t="str">
        <f>IFERROR(MID(VLOOKUP($B236,Seqs!$A:$B,2,0),W236,1),"")</f>
        <v>R</v>
      </c>
      <c r="W236" s="9">
        <v>130</v>
      </c>
      <c r="X236" s="9" t="str">
        <f>IFERROR(MID(VLOOKUP($B236,Seqs!$A:$B,2,0),Y236,1),"")</f>
        <v/>
      </c>
      <c r="Y236" s="9" t="s">
        <v>23</v>
      </c>
      <c r="Z236" s="9" t="str">
        <f>IFERROR(MID(VLOOKUP($B236,Seqs!$A:$B,2,0),AA236,1),"")</f>
        <v/>
      </c>
      <c r="AA236" s="9" t="s">
        <v>23</v>
      </c>
      <c r="AB236" s="9" t="str">
        <f>IFERROR(MID(VLOOKUP($B236,Seqs!$A:$B,2,0),AC236,1),"")</f>
        <v>Q</v>
      </c>
      <c r="AC236" s="9">
        <v>147</v>
      </c>
      <c r="AD236" s="9" t="str">
        <f>IFERROR(MID(VLOOKUP($B236,Seqs!$A:$B,2,0),AE236,1),"")</f>
        <v>S</v>
      </c>
      <c r="AE236" s="9">
        <v>163</v>
      </c>
      <c r="AF236" s="9" t="str">
        <f>IFERROR(MID(VLOOKUP($B236,Seqs!$A:$B,2,0),AG236,1),"")</f>
        <v/>
      </c>
      <c r="AG236" s="9" t="s">
        <v>23</v>
      </c>
      <c r="AH236" s="9" t="str">
        <f>IFERROR(MID(VLOOKUP($B236,Seqs!$A:$B,2,0),AI236,1),"")</f>
        <v/>
      </c>
      <c r="AI236" s="9" t="s">
        <v>23</v>
      </c>
      <c r="AJ236" s="9" t="str">
        <f>IFERROR(MID(VLOOKUP($B236,Seqs!$A:$B,2,0),AK236,1),"")</f>
        <v>Y</v>
      </c>
      <c r="AK236" s="9">
        <v>187</v>
      </c>
      <c r="AL236" s="9" t="str">
        <f>IFERROR(MID(VLOOKUP($B236,Seqs!$A:$B,2,0),AM236,1),"")</f>
        <v>E</v>
      </c>
      <c r="AM236" s="9">
        <v>218</v>
      </c>
      <c r="AN236" s="9" t="str">
        <f>IFERROR(MID(VLOOKUP($B236,Seqs!$A:$B,2,0),AO236,1),"")</f>
        <v>K</v>
      </c>
      <c r="AO236" s="9">
        <v>304</v>
      </c>
      <c r="AP236" s="9" t="str">
        <f>IFERROR(MID(VLOOKUP($B236,Seqs!$A:$B,2,0),AQ236,1),"")</f>
        <v>C</v>
      </c>
      <c r="AQ236" s="9">
        <v>340</v>
      </c>
      <c r="AR236" s="9" t="str">
        <f>IFERROR(MID(VLOOKUP($B236,Seqs!$A:$B,2,0),AS236,1),"")</f>
        <v>S</v>
      </c>
      <c r="AS236" s="9">
        <v>346</v>
      </c>
      <c r="AT236" s="9" t="str">
        <f>IFERROR(MID(VLOOKUP($B236,Seqs!$A:$B,2,0),AU236,1),"")</f>
        <v>T</v>
      </c>
      <c r="AU236" s="9">
        <v>369</v>
      </c>
      <c r="AV236" s="9" t="str">
        <f>IFERROR(MID(VLOOKUP($B236,Seqs!$A:$B,2,0),AW236,1),"")</f>
        <v/>
      </c>
      <c r="AW236" s="9" t="s">
        <v>23</v>
      </c>
      <c r="AX236" s="9" t="str">
        <f>IFERROR(MID(VLOOKUP($B236,Seqs!$A:$B,2,0),AY236,1),"")</f>
        <v/>
      </c>
      <c r="AY236" s="9" t="s">
        <v>23</v>
      </c>
      <c r="AZ236" s="110" t="str">
        <f>VLOOKUP(B236,Classification!A:D,2,0)</f>
        <v>A</v>
      </c>
      <c r="BA236" s="98" t="str">
        <f>VLOOKUP(B236,Classification!A:D,4,0)</f>
        <v>Dopamine</v>
      </c>
      <c r="BB236" s="36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109">
        <f>_xlfn.AGGREGATE(9,6,CH236:CS236)-_xlfn.AGGREGATE(9,6,BV236:CG236)+12</f>
        <v>206</v>
      </c>
      <c r="BD236" s="40" t="s">
        <v>23</v>
      </c>
      <c r="BE236" s="9" t="s">
        <v>1370</v>
      </c>
      <c r="BF236" s="119">
        <v>3.5</v>
      </c>
      <c r="BG236" s="51" t="s">
        <v>1</v>
      </c>
      <c r="BH236" s="51" t="s">
        <v>1</v>
      </c>
      <c r="BJ236" s="111" t="s">
        <v>1283</v>
      </c>
      <c r="BK236" s="112" t="s">
        <v>1283</v>
      </c>
      <c r="BL236" s="112" t="s">
        <v>1283</v>
      </c>
      <c r="BM236" s="112" t="s">
        <v>1283</v>
      </c>
      <c r="BN236" s="112" t="s">
        <v>1283</v>
      </c>
      <c r="BO236" s="112" t="s">
        <v>1283</v>
      </c>
      <c r="BP236" s="112" t="s">
        <v>1283</v>
      </c>
      <c r="BQ236" s="112" t="s">
        <v>1283</v>
      </c>
      <c r="BR236" s="112" t="s">
        <v>1283</v>
      </c>
      <c r="BS236" s="112" t="s">
        <v>1283</v>
      </c>
      <c r="BT236" s="112" t="s">
        <v>1283</v>
      </c>
      <c r="BU236" s="112" t="s">
        <v>1283</v>
      </c>
      <c r="BV236" s="111">
        <f>E236</f>
        <v>32</v>
      </c>
      <c r="BW236" s="113" t="str">
        <f>I236</f>
        <v>-</v>
      </c>
      <c r="BX236" s="114">
        <f>M236</f>
        <v>64</v>
      </c>
      <c r="BY236" s="113">
        <f>Q236</f>
        <v>97</v>
      </c>
      <c r="BZ236" s="114">
        <f>U236</f>
        <v>102</v>
      </c>
      <c r="CA236" s="113" t="str">
        <f>Y236</f>
        <v>-</v>
      </c>
      <c r="CB236" s="114">
        <f>AC236</f>
        <v>147</v>
      </c>
      <c r="CC236" s="113" t="str">
        <f>AG236</f>
        <v>-</v>
      </c>
      <c r="CD236" s="114">
        <f>AK236</f>
        <v>187</v>
      </c>
      <c r="CE236" s="113">
        <f>AO236</f>
        <v>304</v>
      </c>
      <c r="CF236" s="114">
        <f>AS236</f>
        <v>346</v>
      </c>
      <c r="CG236" s="113" t="str">
        <f>AW236</f>
        <v>-</v>
      </c>
      <c r="CH236" s="111">
        <f>G236</f>
        <v>59</v>
      </c>
      <c r="CI236" s="113" t="str">
        <f>K236</f>
        <v>-</v>
      </c>
      <c r="CJ236" s="114">
        <f>O236</f>
        <v>94</v>
      </c>
      <c r="CK236" s="114">
        <f>S236</f>
        <v>100</v>
      </c>
      <c r="CL236" s="114">
        <f>W236</f>
        <v>130</v>
      </c>
      <c r="CM236" s="114" t="str">
        <f>AA236</f>
        <v>-</v>
      </c>
      <c r="CN236" s="114">
        <f>AE236</f>
        <v>163</v>
      </c>
      <c r="CO236" s="114" t="str">
        <f>AI236</f>
        <v>-</v>
      </c>
      <c r="CP236" s="114">
        <f>AM236</f>
        <v>218</v>
      </c>
      <c r="CQ236" s="114">
        <f>AQ236</f>
        <v>340</v>
      </c>
      <c r="CR236" s="114">
        <f>AU236</f>
        <v>369</v>
      </c>
      <c r="CS236" s="114" t="str">
        <f>AY236</f>
        <v>-</v>
      </c>
      <c r="CT236" s="109" t="e">
        <f>M236-K236</f>
        <v>#VALUE!</v>
      </c>
    </row>
    <row r="237" spans="1:1029" x14ac:dyDescent="0.2">
      <c r="A237" s="3" t="str">
        <f t="shared" si="1231"/>
        <v>ednrb_human__wt</v>
      </c>
      <c r="B237" s="2" t="s">
        <v>196</v>
      </c>
      <c r="C237" s="2" t="s">
        <v>100</v>
      </c>
      <c r="D237" s="3" t="str">
        <f>IFERROR(MID(VLOOKUP($B237,Seqs!$A:$B,2,0),E237,1),"")</f>
        <v>Q</v>
      </c>
      <c r="E237" s="2">
        <v>91</v>
      </c>
      <c r="F237" s="3" t="str">
        <f>IFERROR(MID(VLOOKUP($B237,Seqs!$A:$B,2,0),G237,1),"")</f>
        <v>N</v>
      </c>
      <c r="G237" s="2">
        <v>129</v>
      </c>
      <c r="H237" s="3" t="str">
        <f>IFERROR(MID(VLOOKUP($B237,Seqs!$A:$B,2,0),I237,1),"")</f>
        <v>K</v>
      </c>
      <c r="I237" s="56">
        <v>130</v>
      </c>
      <c r="J237" s="3" t="str">
        <f>IFERROR(MID(VLOOKUP($B237,Seqs!$A:$B,2,0),K237,1),"")</f>
        <v>N</v>
      </c>
      <c r="K237" s="56">
        <v>134</v>
      </c>
      <c r="L237" s="3" t="str">
        <f>IFERROR(MID(VLOOKUP($B237,Seqs!$A:$B,2,0),M237,1),"")</f>
        <v>G</v>
      </c>
      <c r="M237" s="2">
        <v>135</v>
      </c>
      <c r="N237" s="3" t="str">
        <f>IFERROR(MID(VLOOKUP($B237,Seqs!$A:$B,2,0),O237,1),"")</f>
        <v>A</v>
      </c>
      <c r="O237" s="2">
        <v>164</v>
      </c>
      <c r="P237" s="3" t="str">
        <f>IFERROR(MID(VLOOKUP($B237,Seqs!$A:$B,2,0),Q237,1),"")</f>
        <v>D</v>
      </c>
      <c r="Q237" s="2">
        <v>166</v>
      </c>
      <c r="R237" s="3" t="str">
        <f>IFERROR(MID(VLOOKUP($B237,Seqs!$A:$B,2,0),S237,1),"")</f>
        <v>F</v>
      </c>
      <c r="S237" s="2">
        <v>169</v>
      </c>
      <c r="T237" s="3" t="str">
        <f>IFERROR(MID(VLOOKUP($B237,Seqs!$A:$B,2,0),U237,1),"")</f>
        <v>G</v>
      </c>
      <c r="U237" s="4">
        <v>170</v>
      </c>
      <c r="V237" s="3" t="str">
        <f>IFERROR(MID(VLOOKUP($B237,Seqs!$A:$B,2,0),W237,1),"")</f>
        <v>S</v>
      </c>
      <c r="W237" s="2">
        <v>205</v>
      </c>
      <c r="X237" s="3" t="str">
        <f>IFERROR(MID(VLOOKUP($B237,Seqs!$A:$B,2,0),Y237,1),"")</f>
        <v>W</v>
      </c>
      <c r="Y237" s="2">
        <v>206</v>
      </c>
      <c r="Z237" s="3" t="str">
        <f>IFERROR(MID(VLOOKUP($B237,Seqs!$A:$B,2,0),AA237,1),"")</f>
        <v>G</v>
      </c>
      <c r="AA237" s="2">
        <v>213</v>
      </c>
      <c r="AB237" s="3" t="str">
        <f>IFERROR(MID(VLOOKUP($B237,Seqs!$A:$B,2,0),AC237,1),"")</f>
        <v>V</v>
      </c>
      <c r="AC237" s="40">
        <v>214</v>
      </c>
      <c r="AD237" s="3" t="str">
        <f>IFERROR(MID(VLOOKUP($B237,Seqs!$A:$B,2,0),AE237,1),"")</f>
        <v>F</v>
      </c>
      <c r="AE237" s="2">
        <v>240</v>
      </c>
      <c r="AF237" s="3" t="str">
        <f>IFERROR(MID(VLOOKUP($B237,Seqs!$A:$B,2,0),AG237,1),"")</f>
        <v>C</v>
      </c>
      <c r="AG237" s="2">
        <v>255</v>
      </c>
      <c r="AH237" s="3" t="str">
        <f>IFERROR(MID(VLOOKUP($B237,Seqs!$A:$B,2,0),AI237,1),"")</f>
        <v>L</v>
      </c>
      <c r="AI237" s="2">
        <v>257</v>
      </c>
      <c r="AJ237" s="3" t="str">
        <f>IFERROR(MID(VLOOKUP($B237,Seqs!$A:$B,2,0),AK237,1),"")</f>
        <v>T</v>
      </c>
      <c r="AK237" s="2">
        <v>263</v>
      </c>
      <c r="AL237" s="3" t="str">
        <f>IFERROR(MID(VLOOKUP($B237,Seqs!$A:$B,2,0),AM237,1),"")</f>
        <v>M</v>
      </c>
      <c r="AM237" s="2">
        <v>307</v>
      </c>
      <c r="AN237" s="3" t="str">
        <f>IFERROR(MID(VLOOKUP($B237,Seqs!$A:$B,2,0),AO237,1),"")</f>
        <v>N</v>
      </c>
      <c r="AO237" s="2">
        <v>312</v>
      </c>
      <c r="AP237" s="3" t="str">
        <f>IFERROR(MID(VLOOKUP($B237,Seqs!$A:$B,2,0),AQ237,1),"")</f>
        <v>Y</v>
      </c>
      <c r="AQ237" s="2">
        <v>350</v>
      </c>
      <c r="AR237" s="3" t="str">
        <f>IFERROR(MID(VLOOKUP($B237,Seqs!$A:$B,2,0),AS237,1),"")</f>
        <v>R</v>
      </c>
      <c r="AS237" s="2">
        <v>357</v>
      </c>
      <c r="AT237" s="3" t="str">
        <f>IFERROR(MID(VLOOKUP($B237,Seqs!$A:$B,2,0),AU237,1),"")</f>
        <v>V</v>
      </c>
      <c r="AU237" s="2">
        <v>389</v>
      </c>
      <c r="AV237" s="3" t="str">
        <f>IFERROR(MID(VLOOKUP($B237,Seqs!$A:$B,2,0),AW237,1),"")</f>
        <v>S</v>
      </c>
      <c r="AW237" s="2">
        <v>390</v>
      </c>
      <c r="AX237" s="3" t="str">
        <f>IFERROR(MID(VLOOKUP($B237,Seqs!$A:$B,2,0),AY237,1),"")</f>
        <v>C</v>
      </c>
      <c r="AY237" s="2">
        <v>403</v>
      </c>
      <c r="AZ237" s="77" t="str">
        <f>VLOOKUP(B237,Classification!A:D,2,0)</f>
        <v>A</v>
      </c>
      <c r="BA237" s="94" t="str">
        <f>VLOOKUP(B237,Classification!A:D,4,0)</f>
        <v>Endothelin</v>
      </c>
      <c r="BB237" s="27" t="b">
        <f t="shared" si="1232"/>
        <v>1</v>
      </c>
      <c r="BC237" s="2"/>
      <c r="BD237" s="34" t="s">
        <v>23</v>
      </c>
      <c r="BE237" s="3" t="s">
        <v>23</v>
      </c>
      <c r="BF237" s="118" t="s">
        <v>23</v>
      </c>
      <c r="BG237" s="49" t="s">
        <v>1368</v>
      </c>
      <c r="BH237" s="49" t="s">
        <v>1373</v>
      </c>
      <c r="BI237" s="2"/>
      <c r="BJ237" s="70"/>
      <c r="BU237" s="57"/>
      <c r="BV237" s="70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70"/>
      <c r="CI237" s="57"/>
      <c r="CJ237" s="57"/>
      <c r="CK237" s="57"/>
      <c r="CL237" s="57"/>
      <c r="CM237" s="57"/>
      <c r="CN237" s="57"/>
      <c r="CO237" s="57"/>
      <c r="CP237" s="57"/>
      <c r="CQ237" s="57"/>
      <c r="CR237" s="57"/>
      <c r="CS237" s="57"/>
      <c r="CT237" s="2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1231"/>
        <v>ednrb_human_5GLH</v>
      </c>
      <c r="B238" s="2" t="s">
        <v>196</v>
      </c>
      <c r="C238" s="2" t="s">
        <v>1324</v>
      </c>
      <c r="D238" s="3" t="str">
        <f>IFERROR(MID(VLOOKUP($B238,Seqs!$A:$B,2,0),E238,1),"")</f>
        <v>K</v>
      </c>
      <c r="E238" s="2">
        <v>97</v>
      </c>
      <c r="F238" s="3" t="str">
        <f>IFERROR(MID(VLOOKUP($B238,Seqs!$A:$B,2,0),G238,1),"")</f>
        <v>N</v>
      </c>
      <c r="G238" s="2">
        <v>129</v>
      </c>
      <c r="H238" s="3" t="str">
        <f>IFERROR(MID(VLOOKUP($B238,Seqs!$A:$B,2,0),I238,1),"")</f>
        <v/>
      </c>
      <c r="I238" s="56" t="s">
        <v>23</v>
      </c>
      <c r="J238" s="3" t="str">
        <f>IFERROR(MID(VLOOKUP($B238,Seqs!$A:$B,2,0),K238,1),"")</f>
        <v/>
      </c>
      <c r="K238" s="56" t="s">
        <v>23</v>
      </c>
      <c r="L238" s="3" t="str">
        <f>IFERROR(MID(VLOOKUP($B238,Seqs!$A:$B,2,0),M238,1),"")</f>
        <v>P</v>
      </c>
      <c r="M238" s="2">
        <v>136</v>
      </c>
      <c r="N238" s="3" t="str">
        <f>IFERROR(MID(VLOOKUP($B238,Seqs!$A:$B,2,0),O238,1),"")</f>
        <v>A</v>
      </c>
      <c r="O238" s="2">
        <v>164</v>
      </c>
      <c r="P238" s="3" t="str">
        <f>IFERROR(MID(VLOOKUP($B238,Seqs!$A:$B,2,0),Q238,1),"")</f>
        <v>D</v>
      </c>
      <c r="Q238" s="2">
        <v>166</v>
      </c>
      <c r="R238" s="3" t="str">
        <f>IFERROR(MID(VLOOKUP($B238,Seqs!$A:$B,2,0),S238,1),"")</f>
        <v>F</v>
      </c>
      <c r="S238" s="2">
        <v>169</v>
      </c>
      <c r="T238" s="3" t="str">
        <f>IFERROR(MID(VLOOKUP($B238,Seqs!$A:$B,2,0),U238,1),"")</f>
        <v>G</v>
      </c>
      <c r="U238" s="4">
        <v>170</v>
      </c>
      <c r="V238" s="3" t="str">
        <f>IFERROR(MID(VLOOKUP($B238,Seqs!$A:$B,2,0),W238,1),"")</f>
        <v>S</v>
      </c>
      <c r="W238" s="2">
        <v>205</v>
      </c>
      <c r="X238" s="3" t="str">
        <f>IFERROR(MID(VLOOKUP($B238,Seqs!$A:$B,2,0),Y238,1),"")</f>
        <v/>
      </c>
      <c r="Y238" s="2" t="s">
        <v>23</v>
      </c>
      <c r="Z238" s="3" t="str">
        <f>IFERROR(MID(VLOOKUP($B238,Seqs!$A:$B,2,0),AA238,1),"")</f>
        <v/>
      </c>
      <c r="AA238" s="2" t="s">
        <v>23</v>
      </c>
      <c r="AB238" s="3" t="str">
        <f>IFERROR(MID(VLOOKUP($B238,Seqs!$A:$B,2,0),AC238,1),"")</f>
        <v>T</v>
      </c>
      <c r="AC238" s="40">
        <v>218</v>
      </c>
      <c r="AD238" s="3" t="str">
        <f>IFERROR(MID(VLOOKUP($B238,Seqs!$A:$B,2,0),AE238,1),"")</f>
        <v>F</v>
      </c>
      <c r="AE238" s="2">
        <v>240</v>
      </c>
      <c r="AF238" s="3" t="str">
        <f>IFERROR(MID(VLOOKUP($B238,Seqs!$A:$B,2,0),AG238,1),"")</f>
        <v>C</v>
      </c>
      <c r="AG238" s="2">
        <v>255</v>
      </c>
      <c r="AH238" s="3" t="str">
        <f>IFERROR(MID(VLOOKUP($B238,Seqs!$A:$B,2,0),AI238,1),"")</f>
        <v>L</v>
      </c>
      <c r="AI238" s="2">
        <v>257</v>
      </c>
      <c r="AJ238" s="3" t="str">
        <f>IFERROR(MID(VLOOKUP($B238,Seqs!$A:$B,2,0),AK238,1),"")</f>
        <v>T</v>
      </c>
      <c r="AK238" s="2">
        <v>263</v>
      </c>
      <c r="AL238" s="3" t="str">
        <f>IFERROR(MID(VLOOKUP($B238,Seqs!$A:$B,2,0),AM238,1),"")</f>
        <v>K</v>
      </c>
      <c r="AM238" s="2">
        <v>303</v>
      </c>
      <c r="AN238" s="3" t="str">
        <f>IFERROR(MID(VLOOKUP($B238,Seqs!$A:$B,2,0),AO238,1),"")</f>
        <v>N</v>
      </c>
      <c r="AO238" s="2">
        <v>312</v>
      </c>
      <c r="AP238" s="3" t="str">
        <f>IFERROR(MID(VLOOKUP($B238,Seqs!$A:$B,2,0),AQ238,1),"")</f>
        <v>Y</v>
      </c>
      <c r="AQ238" s="2">
        <v>350</v>
      </c>
      <c r="AR238" s="3" t="str">
        <f>IFERROR(MID(VLOOKUP($B238,Seqs!$A:$B,2,0),AS238,1),"")</f>
        <v>R</v>
      </c>
      <c r="AS238" s="2">
        <v>357</v>
      </c>
      <c r="AT238" s="3" t="str">
        <f>IFERROR(MID(VLOOKUP($B238,Seqs!$A:$B,2,0),AU238,1),"")</f>
        <v>V</v>
      </c>
      <c r="AU238" s="2">
        <v>389</v>
      </c>
      <c r="AV238" s="3" t="str">
        <f>IFERROR(MID(VLOOKUP($B238,Seqs!$A:$B,2,0),AW238,1),"")</f>
        <v>S</v>
      </c>
      <c r="AW238" s="2">
        <v>390</v>
      </c>
      <c r="AX238" s="3" t="str">
        <f>IFERROR(MID(VLOOKUP($B238,Seqs!$A:$B,2,0),AY238,1),"")</f>
        <v>L</v>
      </c>
      <c r="AY238" s="2">
        <v>401</v>
      </c>
      <c r="AZ238" s="77" t="str">
        <f>VLOOKUP(B238,Classification!A:D,2,0)</f>
        <v>A</v>
      </c>
      <c r="BA238" s="94" t="str">
        <f>VLOOKUP(B238,Classification!A:D,4,0)</f>
        <v>Endothelin</v>
      </c>
      <c r="BB238" s="27" t="b">
        <f t="shared" si="1232"/>
        <v>1</v>
      </c>
      <c r="BC238" s="23">
        <f t="shared" ref="BC238:BC323" si="2012">_xlfn.AGGREGATE(9,6,CH238:CS238)-_xlfn.AGGREGATE(9,6,BV238:CG238)+12</f>
        <v>255</v>
      </c>
      <c r="BD238" s="2" t="s">
        <v>23</v>
      </c>
      <c r="BE238" s="3" t="s">
        <v>1370</v>
      </c>
      <c r="BF238" s="118">
        <v>2.8</v>
      </c>
      <c r="BG238" s="49" t="s">
        <v>1373</v>
      </c>
      <c r="BH238" s="49" t="s">
        <v>1373</v>
      </c>
      <c r="BI238" s="2"/>
      <c r="BJ238" s="70" t="s">
        <v>1283</v>
      </c>
      <c r="BK238" s="57" t="s">
        <v>1283</v>
      </c>
      <c r="BL238" s="57" t="s">
        <v>1283</v>
      </c>
      <c r="BM238" s="57" t="s">
        <v>1283</v>
      </c>
      <c r="BN238" s="57" t="s">
        <v>1283</v>
      </c>
      <c r="BO238" s="57" t="s">
        <v>1283</v>
      </c>
      <c r="BP238" s="57" t="s">
        <v>1283</v>
      </c>
      <c r="BQ238" s="57" t="s">
        <v>1283</v>
      </c>
      <c r="BR238" s="57" t="s">
        <v>1283</v>
      </c>
      <c r="BS238" s="57" t="s">
        <v>1283</v>
      </c>
      <c r="BT238" s="57" t="s">
        <v>1283</v>
      </c>
      <c r="BU238" s="57" t="s">
        <v>1283</v>
      </c>
      <c r="BV238" s="70">
        <f t="shared" ref="BV238:BV323" si="2013">E238</f>
        <v>97</v>
      </c>
      <c r="BW238" s="71" t="str">
        <f t="shared" ref="BW238:BW323" si="2014">I238</f>
        <v>-</v>
      </c>
      <c r="BX238" s="72">
        <f t="shared" ref="BX238:BX323" si="2015">M238</f>
        <v>136</v>
      </c>
      <c r="BY238" s="71">
        <f t="shared" ref="BY238:BY323" si="2016">Q238</f>
        <v>166</v>
      </c>
      <c r="BZ238" s="72">
        <f t="shared" ref="BZ238:BZ323" si="2017">U238</f>
        <v>170</v>
      </c>
      <c r="CA238" s="71" t="str">
        <f t="shared" ref="CA238:CA323" si="2018">Y238</f>
        <v>-</v>
      </c>
      <c r="CB238" s="72">
        <f t="shared" ref="CB238:CB323" si="2019">AC238</f>
        <v>218</v>
      </c>
      <c r="CC238" s="71">
        <f t="shared" ref="CC238:CC323" si="2020">AG238</f>
        <v>255</v>
      </c>
      <c r="CD238" s="72">
        <f t="shared" ref="CD238:CD323" si="2021">AK238</f>
        <v>263</v>
      </c>
      <c r="CE238" s="71">
        <f t="shared" ref="CE238:CE323" si="2022">AO238</f>
        <v>312</v>
      </c>
      <c r="CF238" s="72">
        <f t="shared" ref="CF238:CF323" si="2023">AS238</f>
        <v>357</v>
      </c>
      <c r="CG238" s="71">
        <f t="shared" ref="CG238:CG323" si="2024">AW238</f>
        <v>390</v>
      </c>
      <c r="CH238" s="70">
        <f t="shared" ref="CH238:CH323" si="2025">G238</f>
        <v>129</v>
      </c>
      <c r="CI238" s="71" t="str">
        <f t="shared" ref="CI238:CI323" si="2026">K238</f>
        <v>-</v>
      </c>
      <c r="CJ238" s="72">
        <f t="shared" ref="CJ238:CJ323" si="2027">O238</f>
        <v>164</v>
      </c>
      <c r="CK238" s="72">
        <f t="shared" ref="CK238:CK323" si="2028">S238</f>
        <v>169</v>
      </c>
      <c r="CL238" s="72">
        <f t="shared" ref="CL238:CL323" si="2029">W238</f>
        <v>205</v>
      </c>
      <c r="CM238" s="72" t="str">
        <f t="shared" ref="CM238:CM323" si="2030">AA238</f>
        <v>-</v>
      </c>
      <c r="CN238" s="72">
        <f t="shared" ref="CN238:CN323" si="2031">AE238</f>
        <v>240</v>
      </c>
      <c r="CO238" s="72">
        <f t="shared" ref="CO238:CO323" si="2032">AI238</f>
        <v>257</v>
      </c>
      <c r="CP238" s="72">
        <f t="shared" ref="CP238:CP323" si="2033">AM238</f>
        <v>303</v>
      </c>
      <c r="CQ238" s="72">
        <f t="shared" ref="CQ238:CQ323" si="2034">AQ238</f>
        <v>350</v>
      </c>
      <c r="CR238" s="72">
        <f t="shared" ref="CR238:CR323" si="2035">AU238</f>
        <v>389</v>
      </c>
      <c r="CS238" s="72">
        <f t="shared" ref="CS238:CS323" si="2036">AY238</f>
        <v>401</v>
      </c>
      <c r="CT238" s="23" t="e">
        <f t="shared" ref="CT238:CT323" si="2037">M238-K238</f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1231"/>
        <v>ednrb_human_5GLI</v>
      </c>
      <c r="B239" s="2" t="s">
        <v>196</v>
      </c>
      <c r="C239" s="2" t="s">
        <v>1323</v>
      </c>
      <c r="D239" s="3" t="str">
        <f>IFERROR(MID(VLOOKUP($B239,Seqs!$A:$B,2,0),E239,1),"")</f>
        <v>Q</v>
      </c>
      <c r="E239" s="2">
        <v>91</v>
      </c>
      <c r="F239" s="3" t="str">
        <f>IFERROR(MID(VLOOKUP($B239,Seqs!$A:$B,2,0),G239,1),"")</f>
        <v>N</v>
      </c>
      <c r="G239" s="2">
        <v>129</v>
      </c>
      <c r="H239" s="3" t="str">
        <f>IFERROR(MID(VLOOKUP($B239,Seqs!$A:$B,2,0),I239,1),"")</f>
        <v>K</v>
      </c>
      <c r="I239" s="56">
        <v>130</v>
      </c>
      <c r="J239" s="3" t="str">
        <f>IFERROR(MID(VLOOKUP($B239,Seqs!$A:$B,2,0),K239,1),"")</f>
        <v>N</v>
      </c>
      <c r="K239" s="56">
        <v>134</v>
      </c>
      <c r="L239" s="3" t="str">
        <f>IFERROR(MID(VLOOKUP($B239,Seqs!$A:$B,2,0),M239,1),"")</f>
        <v>G</v>
      </c>
      <c r="M239" s="2">
        <v>135</v>
      </c>
      <c r="N239" s="3" t="str">
        <f>IFERROR(MID(VLOOKUP($B239,Seqs!$A:$B,2,0),O239,1),"")</f>
        <v>A</v>
      </c>
      <c r="O239" s="2">
        <v>164</v>
      </c>
      <c r="P239" s="3" t="str">
        <f>IFERROR(MID(VLOOKUP($B239,Seqs!$A:$B,2,0),Q239,1),"")</f>
        <v>D</v>
      </c>
      <c r="Q239" s="2">
        <v>166</v>
      </c>
      <c r="R239" s="3" t="str">
        <f>IFERROR(MID(VLOOKUP($B239,Seqs!$A:$B,2,0),S239,1),"")</f>
        <v>F</v>
      </c>
      <c r="S239" s="2">
        <v>169</v>
      </c>
      <c r="T239" s="3" t="str">
        <f>IFERROR(MID(VLOOKUP($B239,Seqs!$A:$B,2,0),U239,1),"")</f>
        <v>G</v>
      </c>
      <c r="U239" s="4">
        <v>170</v>
      </c>
      <c r="V239" s="3" t="str">
        <f>IFERROR(MID(VLOOKUP($B239,Seqs!$A:$B,2,0),W239,1),"")</f>
        <v>S</v>
      </c>
      <c r="W239" s="2">
        <v>205</v>
      </c>
      <c r="X239" s="3" t="str">
        <f>IFERROR(MID(VLOOKUP($B239,Seqs!$A:$B,2,0),Y239,1),"")</f>
        <v/>
      </c>
      <c r="Y239" s="2" t="s">
        <v>23</v>
      </c>
      <c r="Z239" s="3" t="str">
        <f>IFERROR(MID(VLOOKUP($B239,Seqs!$A:$B,2,0),AA239,1),"")</f>
        <v/>
      </c>
      <c r="AA239" s="2" t="s">
        <v>23</v>
      </c>
      <c r="AB239" s="3" t="str">
        <f>IFERROR(MID(VLOOKUP($B239,Seqs!$A:$B,2,0),AC239,1),"")</f>
        <v>K</v>
      </c>
      <c r="AC239" s="40">
        <v>216</v>
      </c>
      <c r="AD239" s="3" t="str">
        <f>IFERROR(MID(VLOOKUP($B239,Seqs!$A:$B,2,0),AE239,1),"")</f>
        <v>F</v>
      </c>
      <c r="AE239" s="2">
        <v>240</v>
      </c>
      <c r="AF239" s="3" t="str">
        <f>IFERROR(MID(VLOOKUP($B239,Seqs!$A:$B,2,0),AG239,1),"")</f>
        <v>C</v>
      </c>
      <c r="AG239" s="2">
        <v>255</v>
      </c>
      <c r="AH239" s="3" t="str">
        <f>IFERROR(MID(VLOOKUP($B239,Seqs!$A:$B,2,0),AI239,1),"")</f>
        <v>L</v>
      </c>
      <c r="AI239" s="2">
        <v>257</v>
      </c>
      <c r="AJ239" s="3" t="str">
        <f>IFERROR(MID(VLOOKUP($B239,Seqs!$A:$B,2,0),AK239,1),"")</f>
        <v>T</v>
      </c>
      <c r="AK239" s="2">
        <v>263</v>
      </c>
      <c r="AL239" s="3" t="str">
        <f>IFERROR(MID(VLOOKUP($B239,Seqs!$A:$B,2,0),AM239,1),"")</f>
        <v>K</v>
      </c>
      <c r="AM239" s="2">
        <v>303</v>
      </c>
      <c r="AN239" s="3" t="str">
        <f>IFERROR(MID(VLOOKUP($B239,Seqs!$A:$B,2,0),AO239,1),"")</f>
        <v>N</v>
      </c>
      <c r="AO239" s="2">
        <v>312</v>
      </c>
      <c r="AP239" s="3" t="str">
        <f>IFERROR(MID(VLOOKUP($B239,Seqs!$A:$B,2,0),AQ239,1),"")</f>
        <v>Y</v>
      </c>
      <c r="AQ239" s="2">
        <v>350</v>
      </c>
      <c r="AR239" s="3" t="str">
        <f>IFERROR(MID(VLOOKUP($B239,Seqs!$A:$B,2,0),AS239,1),"")</f>
        <v>R</v>
      </c>
      <c r="AS239" s="2">
        <v>357</v>
      </c>
      <c r="AT239" s="3" t="str">
        <f>IFERROR(MID(VLOOKUP($B239,Seqs!$A:$B,2,0),AU239,1),"")</f>
        <v>V</v>
      </c>
      <c r="AU239" s="2">
        <v>389</v>
      </c>
      <c r="AV239" s="3" t="str">
        <f>IFERROR(MID(VLOOKUP($B239,Seqs!$A:$B,2,0),AW239,1),"")</f>
        <v>S</v>
      </c>
      <c r="AW239" s="2">
        <v>390</v>
      </c>
      <c r="AX239" s="3" t="str">
        <f>IFERROR(MID(VLOOKUP($B239,Seqs!$A:$B,2,0),AY239,1),"")</f>
        <v>C</v>
      </c>
      <c r="AY239" s="2">
        <v>403</v>
      </c>
      <c r="AZ239" s="77" t="str">
        <f>VLOOKUP(B239,Classification!A:D,2,0)</f>
        <v>A</v>
      </c>
      <c r="BA239" s="94" t="str">
        <f>VLOOKUP(B239,Classification!A:D,4,0)</f>
        <v>Endothelin</v>
      </c>
      <c r="BB239" s="27" t="b">
        <f t="shared" si="1232"/>
        <v>1</v>
      </c>
      <c r="BC239" s="23">
        <f t="shared" si="2012"/>
        <v>270</v>
      </c>
      <c r="BD239" s="2" t="s">
        <v>23</v>
      </c>
      <c r="BE239" s="3" t="s">
        <v>1370</v>
      </c>
      <c r="BF239" s="118">
        <v>2.5</v>
      </c>
      <c r="BG239" s="49" t="s">
        <v>1373</v>
      </c>
      <c r="BH239" s="49" t="s">
        <v>1373</v>
      </c>
      <c r="BI239" s="2"/>
      <c r="BJ239" s="70" t="s">
        <v>1283</v>
      </c>
      <c r="BK239" s="57" t="s">
        <v>1283</v>
      </c>
      <c r="BL239" s="57" t="s">
        <v>1283</v>
      </c>
      <c r="BM239" s="57" t="s">
        <v>1283</v>
      </c>
      <c r="BN239" s="57" t="s">
        <v>1283</v>
      </c>
      <c r="BO239" s="57" t="s">
        <v>1283</v>
      </c>
      <c r="BP239" s="57" t="s">
        <v>1283</v>
      </c>
      <c r="BQ239" s="57" t="s">
        <v>1283</v>
      </c>
      <c r="BR239" s="57" t="s">
        <v>1283</v>
      </c>
      <c r="BS239" s="57" t="s">
        <v>1283</v>
      </c>
      <c r="BT239" s="57" t="s">
        <v>1283</v>
      </c>
      <c r="BU239" s="57" t="s">
        <v>1283</v>
      </c>
      <c r="BV239" s="70">
        <f t="shared" si="2013"/>
        <v>91</v>
      </c>
      <c r="BW239" s="71">
        <f t="shared" si="2014"/>
        <v>130</v>
      </c>
      <c r="BX239" s="72">
        <f t="shared" si="2015"/>
        <v>135</v>
      </c>
      <c r="BY239" s="71">
        <f t="shared" si="2016"/>
        <v>166</v>
      </c>
      <c r="BZ239" s="72">
        <f t="shared" si="2017"/>
        <v>170</v>
      </c>
      <c r="CA239" s="71" t="str">
        <f t="shared" si="2018"/>
        <v>-</v>
      </c>
      <c r="CB239" s="72">
        <f t="shared" si="2019"/>
        <v>216</v>
      </c>
      <c r="CC239" s="71">
        <f t="shared" si="2020"/>
        <v>255</v>
      </c>
      <c r="CD239" s="72">
        <f t="shared" si="2021"/>
        <v>263</v>
      </c>
      <c r="CE239" s="71">
        <f t="shared" si="2022"/>
        <v>312</v>
      </c>
      <c r="CF239" s="72">
        <f t="shared" si="2023"/>
        <v>357</v>
      </c>
      <c r="CG239" s="71">
        <f t="shared" si="2024"/>
        <v>390</v>
      </c>
      <c r="CH239" s="70">
        <f t="shared" si="2025"/>
        <v>129</v>
      </c>
      <c r="CI239" s="71">
        <f t="shared" si="2026"/>
        <v>134</v>
      </c>
      <c r="CJ239" s="72">
        <f t="shared" si="2027"/>
        <v>164</v>
      </c>
      <c r="CK239" s="72">
        <f t="shared" si="2028"/>
        <v>169</v>
      </c>
      <c r="CL239" s="72">
        <f t="shared" si="2029"/>
        <v>205</v>
      </c>
      <c r="CM239" s="72" t="str">
        <f t="shared" si="2030"/>
        <v>-</v>
      </c>
      <c r="CN239" s="72">
        <f t="shared" si="2031"/>
        <v>240</v>
      </c>
      <c r="CO239" s="72">
        <f t="shared" si="2032"/>
        <v>257</v>
      </c>
      <c r="CP239" s="72">
        <f t="shared" si="2033"/>
        <v>303</v>
      </c>
      <c r="CQ239" s="72">
        <f t="shared" si="2034"/>
        <v>350</v>
      </c>
      <c r="CR239" s="72">
        <f t="shared" si="2035"/>
        <v>389</v>
      </c>
      <c r="CS239" s="72">
        <f t="shared" si="2036"/>
        <v>403</v>
      </c>
      <c r="CT239" s="23">
        <f t="shared" si="2037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ref="A240:A245" si="2038">CONCATENATE(B240,"_",C240)</f>
        <v>ednrb_human_5X93</v>
      </c>
      <c r="B240" s="2" t="s">
        <v>196</v>
      </c>
      <c r="C240" s="2" t="s">
        <v>1434</v>
      </c>
      <c r="D240" s="3" t="str">
        <f>IFERROR(MID(VLOOKUP($B240,Seqs!$A:$B,2,0),E240,1),"")</f>
        <v>Q</v>
      </c>
      <c r="E240" s="2">
        <v>91</v>
      </c>
      <c r="F240" s="3" t="str">
        <f>IFERROR(MID(VLOOKUP($B240,Seqs!$A:$B,2,0),G240,1),"")</f>
        <v>N</v>
      </c>
      <c r="G240" s="2">
        <v>129</v>
      </c>
      <c r="H240" s="3" t="str">
        <f>IFERROR(MID(VLOOKUP($B240,Seqs!$A:$B,2,0),I240,1),"")</f>
        <v>K</v>
      </c>
      <c r="I240" s="56">
        <v>130</v>
      </c>
      <c r="J240" s="3" t="str">
        <f>IFERROR(MID(VLOOKUP($B240,Seqs!$A:$B,2,0),K240,1),"")</f>
        <v>N</v>
      </c>
      <c r="K240" s="56">
        <v>134</v>
      </c>
      <c r="L240" s="3" t="str">
        <f>IFERROR(MID(VLOOKUP($B240,Seqs!$A:$B,2,0),M240,1),"")</f>
        <v>G</v>
      </c>
      <c r="M240" s="2">
        <v>135</v>
      </c>
      <c r="N240" s="3" t="str">
        <f>IFERROR(MID(VLOOKUP($B240,Seqs!$A:$B,2,0),O240,1),"")</f>
        <v>A</v>
      </c>
      <c r="O240" s="2">
        <v>164</v>
      </c>
      <c r="P240" s="3" t="str">
        <f>IFERROR(MID(VLOOKUP($B240,Seqs!$A:$B,2,0),Q240,1),"")</f>
        <v>D</v>
      </c>
      <c r="Q240" s="2">
        <v>166</v>
      </c>
      <c r="R240" s="3" t="str">
        <f>IFERROR(MID(VLOOKUP($B240,Seqs!$A:$B,2,0),S240,1),"")</f>
        <v>F</v>
      </c>
      <c r="S240" s="2">
        <v>169</v>
      </c>
      <c r="T240" s="3" t="str">
        <f>IFERROR(MID(VLOOKUP($B240,Seqs!$A:$B,2,0),U240,1),"")</f>
        <v>G</v>
      </c>
      <c r="U240" s="4">
        <v>170</v>
      </c>
      <c r="V240" s="3" t="str">
        <f>IFERROR(MID(VLOOKUP($B240,Seqs!$A:$B,2,0),W240,1),"")</f>
        <v>S</v>
      </c>
      <c r="W240" s="2">
        <v>205</v>
      </c>
      <c r="X240" s="3" t="str">
        <f>IFERROR(MID(VLOOKUP($B240,Seqs!$A:$B,2,0),Y240,1),"")</f>
        <v/>
      </c>
      <c r="Y240" s="2" t="s">
        <v>23</v>
      </c>
      <c r="Z240" s="3" t="str">
        <f>IFERROR(MID(VLOOKUP($B240,Seqs!$A:$B,2,0),AA240,1),"")</f>
        <v/>
      </c>
      <c r="AA240" s="2" t="s">
        <v>23</v>
      </c>
      <c r="AB240" s="3" t="str">
        <f>IFERROR(MID(VLOOKUP($B240,Seqs!$A:$B,2,0),AC240,1),"")</f>
        <v>K</v>
      </c>
      <c r="AC240" s="2">
        <v>216</v>
      </c>
      <c r="AD240" s="3" t="str">
        <f>IFERROR(MID(VLOOKUP($B240,Seqs!$A:$B,2,0),AE240,1),"")</f>
        <v>F</v>
      </c>
      <c r="AE240" s="2">
        <v>240</v>
      </c>
      <c r="AF240" s="3" t="str">
        <f>IFERROR(MID(VLOOKUP($B240,Seqs!$A:$B,2,0),AG240,1),"")</f>
        <v>C</v>
      </c>
      <c r="AG240" s="2">
        <v>255</v>
      </c>
      <c r="AH240" s="3" t="str">
        <f>IFERROR(MID(VLOOKUP($B240,Seqs!$A:$B,2,0),AI240,1),"")</f>
        <v>L</v>
      </c>
      <c r="AI240" s="2">
        <v>257</v>
      </c>
      <c r="AJ240" s="3" t="str">
        <f>IFERROR(MID(VLOOKUP($B240,Seqs!$A:$B,2,0),AK240,1),"")</f>
        <v>T</v>
      </c>
      <c r="AK240" s="2">
        <v>263</v>
      </c>
      <c r="AL240" s="3" t="str">
        <f>IFERROR(MID(VLOOKUP($B240,Seqs!$A:$B,2,0),AM240,1),"")</f>
        <v>K</v>
      </c>
      <c r="AM240" s="2">
        <v>303</v>
      </c>
      <c r="AN240" s="3" t="str">
        <f>IFERROR(MID(VLOOKUP($B240,Seqs!$A:$B,2,0),AO240,1),"")</f>
        <v>N</v>
      </c>
      <c r="AO240" s="2">
        <v>312</v>
      </c>
      <c r="AP240" s="3" t="str">
        <f>IFERROR(MID(VLOOKUP($B240,Seqs!$A:$B,2,0),AQ240,1),"")</f>
        <v>Y</v>
      </c>
      <c r="AQ240" s="2">
        <v>350</v>
      </c>
      <c r="AR240" s="3" t="str">
        <f>IFERROR(MID(VLOOKUP($B240,Seqs!$A:$B,2,0),AS240,1),"")</f>
        <v>R</v>
      </c>
      <c r="AS240" s="2">
        <v>357</v>
      </c>
      <c r="AT240" s="3" t="str">
        <f>IFERROR(MID(VLOOKUP($B240,Seqs!$A:$B,2,0),AU240,1),"")</f>
        <v>V</v>
      </c>
      <c r="AU240" s="2">
        <v>389</v>
      </c>
      <c r="AV240" s="3" t="str">
        <f>IFERROR(MID(VLOOKUP($B240,Seqs!$A:$B,2,0),AW240,1),"")</f>
        <v>S</v>
      </c>
      <c r="AW240" s="2">
        <v>390</v>
      </c>
      <c r="AX240" s="3" t="str">
        <f>IFERROR(MID(VLOOKUP($B240,Seqs!$A:$B,2,0),AY240,1),"")</f>
        <v>C</v>
      </c>
      <c r="AY240" s="2">
        <v>403</v>
      </c>
      <c r="AZ240" s="77" t="str">
        <f>VLOOKUP(B240,Classification!A:D,2,0)</f>
        <v>A</v>
      </c>
      <c r="BA240" s="94" t="str">
        <f>VLOOKUP(B240,Classification!A:D,4,0)</f>
        <v>Endothelin</v>
      </c>
      <c r="BB240" s="27" t="b">
        <f t="shared" ref="BB240:BB245" si="2039"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23">
        <f t="shared" ref="BC240:BC245" si="2040">_xlfn.AGGREGATE(9,6,CH240:CS240)-_xlfn.AGGREGATE(9,6,BV240:CG240)+12</f>
        <v>270</v>
      </c>
      <c r="BD240" s="2" t="s">
        <v>1372</v>
      </c>
      <c r="BE240" s="3" t="s">
        <v>1370</v>
      </c>
      <c r="BF240" s="118">
        <v>2.2000000000000002</v>
      </c>
      <c r="BG240" s="49" t="s">
        <v>1</v>
      </c>
      <c r="BH240" s="49" t="s">
        <v>1</v>
      </c>
      <c r="BI240" s="2"/>
      <c r="BJ240" s="70" t="s">
        <v>1283</v>
      </c>
      <c r="BK240" s="57" t="s">
        <v>1283</v>
      </c>
      <c r="BL240" s="57" t="s">
        <v>1283</v>
      </c>
      <c r="BM240" s="57" t="s">
        <v>1283</v>
      </c>
      <c r="BN240" s="57" t="s">
        <v>1283</v>
      </c>
      <c r="BO240" s="57" t="s">
        <v>1283</v>
      </c>
      <c r="BP240" s="57" t="s">
        <v>1283</v>
      </c>
      <c r="BQ240" s="57" t="s">
        <v>1283</v>
      </c>
      <c r="BR240" s="57" t="s">
        <v>1283</v>
      </c>
      <c r="BS240" s="57" t="s">
        <v>1283</v>
      </c>
      <c r="BT240" s="57" t="s">
        <v>1283</v>
      </c>
      <c r="BU240" s="57" t="s">
        <v>1283</v>
      </c>
      <c r="BV240" s="70">
        <f t="shared" ref="BV240:BV245" si="2041">E240</f>
        <v>91</v>
      </c>
      <c r="BW240" s="71">
        <f t="shared" ref="BW240:BW245" si="2042">I240</f>
        <v>130</v>
      </c>
      <c r="BX240" s="72">
        <f t="shared" ref="BX240:BX245" si="2043">M240</f>
        <v>135</v>
      </c>
      <c r="BY240" s="71">
        <f t="shared" ref="BY240:BY245" si="2044">Q240</f>
        <v>166</v>
      </c>
      <c r="BZ240" s="72">
        <f t="shared" ref="BZ240:BZ245" si="2045">U240</f>
        <v>170</v>
      </c>
      <c r="CA240" s="71" t="str">
        <f t="shared" ref="CA240:CA245" si="2046">Y240</f>
        <v>-</v>
      </c>
      <c r="CB240" s="72">
        <f t="shared" ref="CB240:CB245" si="2047">AC240</f>
        <v>216</v>
      </c>
      <c r="CC240" s="71">
        <f t="shared" ref="CC240:CC245" si="2048">AG240</f>
        <v>255</v>
      </c>
      <c r="CD240" s="72">
        <f t="shared" ref="CD240:CD245" si="2049">AK240</f>
        <v>263</v>
      </c>
      <c r="CE240" s="71">
        <f t="shared" ref="CE240:CE245" si="2050">AO240</f>
        <v>312</v>
      </c>
      <c r="CF240" s="72">
        <f t="shared" ref="CF240:CF245" si="2051">AS240</f>
        <v>357</v>
      </c>
      <c r="CG240" s="71">
        <f t="shared" ref="CG240:CG245" si="2052">AW240</f>
        <v>390</v>
      </c>
      <c r="CH240" s="70">
        <f t="shared" ref="CH240:CH245" si="2053">G240</f>
        <v>129</v>
      </c>
      <c r="CI240" s="71">
        <f t="shared" ref="CI240:CI245" si="2054">K240</f>
        <v>134</v>
      </c>
      <c r="CJ240" s="72">
        <f t="shared" ref="CJ240:CJ245" si="2055">O240</f>
        <v>164</v>
      </c>
      <c r="CK240" s="72">
        <f t="shared" ref="CK240:CK245" si="2056">S240</f>
        <v>169</v>
      </c>
      <c r="CL240" s="72">
        <f t="shared" ref="CL240:CL245" si="2057">W240</f>
        <v>205</v>
      </c>
      <c r="CM240" s="72" t="str">
        <f t="shared" ref="CM240:CM245" si="2058">AA240</f>
        <v>-</v>
      </c>
      <c r="CN240" s="72">
        <f t="shared" ref="CN240:CN245" si="2059">AE240</f>
        <v>240</v>
      </c>
      <c r="CO240" s="72">
        <f t="shared" ref="CO240:CO245" si="2060">AI240</f>
        <v>257</v>
      </c>
      <c r="CP240" s="72">
        <f t="shared" ref="CP240:CP245" si="2061">AM240</f>
        <v>303</v>
      </c>
      <c r="CQ240" s="72">
        <f t="shared" ref="CQ240:CQ245" si="2062">AQ240</f>
        <v>350</v>
      </c>
      <c r="CR240" s="72">
        <f t="shared" ref="CR240:CR245" si="2063">AU240</f>
        <v>389</v>
      </c>
      <c r="CS240" s="72">
        <f t="shared" ref="CS240:CS245" si="2064">AY240</f>
        <v>403</v>
      </c>
      <c r="CT240" s="23">
        <f t="shared" ref="CT240:CT245" si="2065">M240-K240</f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2038"/>
        <v>ednrb_human_5XPR</v>
      </c>
      <c r="B241" s="2" t="s">
        <v>196</v>
      </c>
      <c r="C241" s="2" t="s">
        <v>1435</v>
      </c>
      <c r="D241" s="3" t="str">
        <f>IFERROR(MID(VLOOKUP($B241,Seqs!$A:$B,2,0),E241,1),"")</f>
        <v>G</v>
      </c>
      <c r="E241" s="2">
        <v>92</v>
      </c>
      <c r="F241" s="3" t="str">
        <f>IFERROR(MID(VLOOKUP($B241,Seqs!$A:$B,2,0),G241,1),"")</f>
        <v>N</v>
      </c>
      <c r="G241" s="2">
        <v>129</v>
      </c>
      <c r="H241" s="3" t="str">
        <f>IFERROR(MID(VLOOKUP($B241,Seqs!$A:$B,2,0),I241,1),"")</f>
        <v>K</v>
      </c>
      <c r="I241" s="56">
        <v>130</v>
      </c>
      <c r="J241" s="3" t="str">
        <f>IFERROR(MID(VLOOKUP($B241,Seqs!$A:$B,2,0),K241,1),"")</f>
        <v>N</v>
      </c>
      <c r="K241" s="56">
        <v>134</v>
      </c>
      <c r="L241" s="3" t="str">
        <f>IFERROR(MID(VLOOKUP($B241,Seqs!$A:$B,2,0),M241,1),"")</f>
        <v>G</v>
      </c>
      <c r="M241" s="2">
        <v>135</v>
      </c>
      <c r="N241" s="3" t="str">
        <f>IFERROR(MID(VLOOKUP($B241,Seqs!$A:$B,2,0),O241,1),"")</f>
        <v>A</v>
      </c>
      <c r="O241" s="2">
        <v>164</v>
      </c>
      <c r="P241" s="3" t="str">
        <f>IFERROR(MID(VLOOKUP($B241,Seqs!$A:$B,2,0),Q241,1),"")</f>
        <v>D</v>
      </c>
      <c r="Q241" s="2">
        <v>166</v>
      </c>
      <c r="R241" s="3" t="str">
        <f>IFERROR(MID(VLOOKUP($B241,Seqs!$A:$B,2,0),S241,1),"")</f>
        <v>F</v>
      </c>
      <c r="S241" s="2">
        <v>169</v>
      </c>
      <c r="T241" s="3" t="str">
        <f>IFERROR(MID(VLOOKUP($B241,Seqs!$A:$B,2,0),U241,1),"")</f>
        <v>A</v>
      </c>
      <c r="U241" s="4">
        <v>171</v>
      </c>
      <c r="V241" s="3" t="str">
        <f>IFERROR(MID(VLOOKUP($B241,Seqs!$A:$B,2,0),W241,1),"")</f>
        <v>A</v>
      </c>
      <c r="W241" s="2">
        <v>202</v>
      </c>
      <c r="X241" s="3" t="str">
        <f>IFERROR(MID(VLOOKUP($B241,Seqs!$A:$B,2,0),Y241,1),"")</f>
        <v/>
      </c>
      <c r="Y241" s="2" t="s">
        <v>23</v>
      </c>
      <c r="Z241" s="3" t="str">
        <f>IFERROR(MID(VLOOKUP($B241,Seqs!$A:$B,2,0),AA241,1),"")</f>
        <v/>
      </c>
      <c r="AA241" s="2" t="s">
        <v>23</v>
      </c>
      <c r="AB241" s="3" t="str">
        <f>IFERROR(MID(VLOOKUP($B241,Seqs!$A:$B,2,0),AC241,1),"")</f>
        <v>K</v>
      </c>
      <c r="AC241" s="2">
        <v>216</v>
      </c>
      <c r="AD241" s="3" t="str">
        <f>IFERROR(MID(VLOOKUP($B241,Seqs!$A:$B,2,0),AE241,1),"")</f>
        <v>F</v>
      </c>
      <c r="AE241" s="2">
        <v>240</v>
      </c>
      <c r="AF241" s="3" t="str">
        <f>IFERROR(MID(VLOOKUP($B241,Seqs!$A:$B,2,0),AG241,1),"")</f>
        <v>C</v>
      </c>
      <c r="AG241" s="2">
        <v>255</v>
      </c>
      <c r="AH241" s="3" t="str">
        <f>IFERROR(MID(VLOOKUP($B241,Seqs!$A:$B,2,0),AI241,1),"")</f>
        <v>L</v>
      </c>
      <c r="AI241" s="2">
        <v>257</v>
      </c>
      <c r="AJ241" s="3" t="str">
        <f>IFERROR(MID(VLOOKUP($B241,Seqs!$A:$B,2,0),AK241,1),"")</f>
        <v>T</v>
      </c>
      <c r="AK241" s="2">
        <v>263</v>
      </c>
      <c r="AL241" s="3" t="str">
        <f>IFERROR(MID(VLOOKUP($B241,Seqs!$A:$B,2,0),AM241,1),"")</f>
        <v>K</v>
      </c>
      <c r="AM241" s="2">
        <v>303</v>
      </c>
      <c r="AN241" s="3" t="str">
        <f>IFERROR(MID(VLOOKUP($B241,Seqs!$A:$B,2,0),AO241,1),"")</f>
        <v>N</v>
      </c>
      <c r="AO241" s="2">
        <v>312</v>
      </c>
      <c r="AP241" s="3" t="str">
        <f>IFERROR(MID(VLOOKUP($B241,Seqs!$A:$B,2,0),AQ241,1),"")</f>
        <v>L</v>
      </c>
      <c r="AQ241" s="2">
        <v>349</v>
      </c>
      <c r="AR241" s="3" t="str">
        <f>IFERROR(MID(VLOOKUP($B241,Seqs!$A:$B,2,0),AS241,1),"")</f>
        <v>N</v>
      </c>
      <c r="AS241" s="2">
        <v>356</v>
      </c>
      <c r="AT241" s="3" t="str">
        <f>IFERROR(MID(VLOOKUP($B241,Seqs!$A:$B,2,0),AU241,1),"")</f>
        <v>V</v>
      </c>
      <c r="AU241" s="2">
        <v>389</v>
      </c>
      <c r="AV241" s="3" t="str">
        <f>IFERROR(MID(VLOOKUP($B241,Seqs!$A:$B,2,0),AW241,1),"")</f>
        <v>S</v>
      </c>
      <c r="AW241" s="2">
        <v>390</v>
      </c>
      <c r="AX241" s="3" t="str">
        <f>IFERROR(MID(VLOOKUP($B241,Seqs!$A:$B,2,0),AY241,1),"")</f>
        <v>C</v>
      </c>
      <c r="AY241" s="2">
        <v>402</v>
      </c>
      <c r="AZ241" s="77" t="str">
        <f>VLOOKUP(B241,Classification!A:D,2,0)</f>
        <v>A</v>
      </c>
      <c r="BA241" s="94" t="str">
        <f>VLOOKUP(B241,Classification!A:D,4,0)</f>
        <v>Endothelin</v>
      </c>
      <c r="BB241" s="27" t="b">
        <f t="shared" si="2039"/>
        <v>1</v>
      </c>
      <c r="BC241" s="23">
        <f t="shared" si="2040"/>
        <v>264</v>
      </c>
      <c r="BD241" s="2" t="s">
        <v>23</v>
      </c>
      <c r="BE241" s="3" t="s">
        <v>1370</v>
      </c>
      <c r="BF241" s="118">
        <v>3.6</v>
      </c>
      <c r="BG241" s="49" t="s">
        <v>1</v>
      </c>
      <c r="BH241" s="49" t="s">
        <v>1</v>
      </c>
      <c r="BI241" s="2"/>
      <c r="BJ241" s="70" t="s">
        <v>1283</v>
      </c>
      <c r="BK241" s="57" t="s">
        <v>1283</v>
      </c>
      <c r="BL241" s="57" t="s">
        <v>1283</v>
      </c>
      <c r="BM241" s="57" t="s">
        <v>1283</v>
      </c>
      <c r="BN241" s="57" t="s">
        <v>1283</v>
      </c>
      <c r="BO241" s="57" t="s">
        <v>1283</v>
      </c>
      <c r="BP241" s="57" t="s">
        <v>1283</v>
      </c>
      <c r="BQ241" s="57" t="s">
        <v>1283</v>
      </c>
      <c r="BR241" s="57" t="s">
        <v>1283</v>
      </c>
      <c r="BS241" s="57" t="s">
        <v>1283</v>
      </c>
      <c r="BT241" s="57" t="s">
        <v>1283</v>
      </c>
      <c r="BU241" s="57" t="s">
        <v>1283</v>
      </c>
      <c r="BV241" s="70">
        <f t="shared" si="2041"/>
        <v>92</v>
      </c>
      <c r="BW241" s="71">
        <f t="shared" si="2042"/>
        <v>130</v>
      </c>
      <c r="BX241" s="72">
        <f t="shared" si="2043"/>
        <v>135</v>
      </c>
      <c r="BY241" s="71">
        <f t="shared" si="2044"/>
        <v>166</v>
      </c>
      <c r="BZ241" s="72">
        <f t="shared" si="2045"/>
        <v>171</v>
      </c>
      <c r="CA241" s="71" t="str">
        <f t="shared" si="2046"/>
        <v>-</v>
      </c>
      <c r="CB241" s="72">
        <f t="shared" si="2047"/>
        <v>216</v>
      </c>
      <c r="CC241" s="71">
        <f t="shared" si="2048"/>
        <v>255</v>
      </c>
      <c r="CD241" s="72">
        <f t="shared" si="2049"/>
        <v>263</v>
      </c>
      <c r="CE241" s="71">
        <f t="shared" si="2050"/>
        <v>312</v>
      </c>
      <c r="CF241" s="72">
        <f t="shared" si="2051"/>
        <v>356</v>
      </c>
      <c r="CG241" s="71">
        <f t="shared" si="2052"/>
        <v>390</v>
      </c>
      <c r="CH241" s="70">
        <f t="shared" si="2053"/>
        <v>129</v>
      </c>
      <c r="CI241" s="71">
        <f t="shared" si="2054"/>
        <v>134</v>
      </c>
      <c r="CJ241" s="72">
        <f t="shared" si="2055"/>
        <v>164</v>
      </c>
      <c r="CK241" s="72">
        <f t="shared" si="2056"/>
        <v>169</v>
      </c>
      <c r="CL241" s="72">
        <f t="shared" si="2057"/>
        <v>202</v>
      </c>
      <c r="CM241" s="72" t="str">
        <f t="shared" si="2058"/>
        <v>-</v>
      </c>
      <c r="CN241" s="72">
        <f t="shared" si="2059"/>
        <v>240</v>
      </c>
      <c r="CO241" s="72">
        <f t="shared" si="2060"/>
        <v>257</v>
      </c>
      <c r="CP241" s="72">
        <f t="shared" si="2061"/>
        <v>303</v>
      </c>
      <c r="CQ241" s="72">
        <f t="shared" si="2062"/>
        <v>349</v>
      </c>
      <c r="CR241" s="72">
        <f t="shared" si="2063"/>
        <v>389</v>
      </c>
      <c r="CS241" s="72">
        <f t="shared" si="2064"/>
        <v>402</v>
      </c>
      <c r="CT241" s="23">
        <f t="shared" si="2065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si="2038"/>
        <v>ednrb_human_6IGL</v>
      </c>
      <c r="B242" s="2" t="s">
        <v>196</v>
      </c>
      <c r="C242" s="2" t="s">
        <v>1524</v>
      </c>
      <c r="D242" s="3" t="str">
        <f>IFERROR(MID(VLOOKUP($B242,Seqs!$A:$B,2,0),E242,1),"")</f>
        <v>K</v>
      </c>
      <c r="E242" s="2">
        <v>97</v>
      </c>
      <c r="F242" s="3" t="str">
        <f>IFERROR(MID(VLOOKUP($B242,Seqs!$A:$B,2,0),G242,1),"")</f>
        <v>N</v>
      </c>
      <c r="G242" s="2">
        <v>129</v>
      </c>
      <c r="H242" s="3" t="str">
        <f>IFERROR(MID(VLOOKUP($B242,Seqs!$A:$B,2,0),I242,1),"")</f>
        <v/>
      </c>
      <c r="I242" s="56" t="s">
        <v>23</v>
      </c>
      <c r="J242" s="3" t="str">
        <f>IFERROR(MID(VLOOKUP($B242,Seqs!$A:$B,2,0),K242,1),"")</f>
        <v/>
      </c>
      <c r="K242" s="56" t="s">
        <v>23</v>
      </c>
      <c r="L242" s="3" t="str">
        <f>IFERROR(MID(VLOOKUP($B242,Seqs!$A:$B,2,0),M242,1),"")</f>
        <v>N</v>
      </c>
      <c r="M242" s="2">
        <v>134</v>
      </c>
      <c r="N242" s="3" t="str">
        <f>IFERROR(MID(VLOOKUP($B242,Seqs!$A:$B,2,0),O242,1),"")</f>
        <v>E</v>
      </c>
      <c r="O242" s="2">
        <v>165</v>
      </c>
      <c r="P242" s="3" t="str">
        <f>IFERROR(MID(VLOOKUP($B242,Seqs!$A:$B,2,0),Q242,1),"")</f>
        <v>D</v>
      </c>
      <c r="Q242" s="2">
        <v>166</v>
      </c>
      <c r="R242" s="3" t="str">
        <f>IFERROR(MID(VLOOKUP($B242,Seqs!$A:$B,2,0),S242,1),"")</f>
        <v>F</v>
      </c>
      <c r="S242" s="2">
        <v>169</v>
      </c>
      <c r="T242" s="3" t="str">
        <f>IFERROR(MID(VLOOKUP($B242,Seqs!$A:$B,2,0),U242,1),"")</f>
        <v>G</v>
      </c>
      <c r="U242" s="4">
        <v>170</v>
      </c>
      <c r="V242" s="3" t="str">
        <f>IFERROR(MID(VLOOKUP($B242,Seqs!$A:$B,2,0),W242,1),"")</f>
        <v>V</v>
      </c>
      <c r="W242" s="2">
        <v>203</v>
      </c>
      <c r="X242" s="3" t="str">
        <f>IFERROR(MID(VLOOKUP($B242,Seqs!$A:$B,2,0),Y242,1),"")</f>
        <v/>
      </c>
      <c r="Y242" s="2" t="s">
        <v>23</v>
      </c>
      <c r="Z242" s="3" t="str">
        <f>IFERROR(MID(VLOOKUP($B242,Seqs!$A:$B,2,0),AA242,1),"")</f>
        <v/>
      </c>
      <c r="AA242" s="2" t="s">
        <v>23</v>
      </c>
      <c r="AB242" s="3" t="str">
        <f>IFERROR(MID(VLOOKUP($B242,Seqs!$A:$B,2,0),AC242,1),"")</f>
        <v>W</v>
      </c>
      <c r="AC242" s="2">
        <v>217</v>
      </c>
      <c r="AD242" s="3" t="str">
        <f>IFERROR(MID(VLOOKUP($B242,Seqs!$A:$B,2,0),AE242,1),"")</f>
        <v>F</v>
      </c>
      <c r="AE242" s="2">
        <v>240</v>
      </c>
      <c r="AF242" s="3" t="str">
        <f>IFERROR(MID(VLOOKUP($B242,Seqs!$A:$B,2,0),AG242,1),"")</f>
        <v>C</v>
      </c>
      <c r="AG242" s="2">
        <v>255</v>
      </c>
      <c r="AH242" s="3" t="str">
        <f>IFERROR(MID(VLOOKUP($B242,Seqs!$A:$B,2,0),AI242,1),"")</f>
        <v>L</v>
      </c>
      <c r="AI242" s="2">
        <v>257</v>
      </c>
      <c r="AJ242" s="3" t="str">
        <f>IFERROR(MID(VLOOKUP($B242,Seqs!$A:$B,2,0),AK242,1),"")</f>
        <v>T</v>
      </c>
      <c r="AK242" s="2">
        <v>263</v>
      </c>
      <c r="AL242" s="3" t="str">
        <f>IFERROR(MID(VLOOKUP($B242,Seqs!$A:$B,2,0),AM242,1),"")</f>
        <v>K</v>
      </c>
      <c r="AM242" s="2">
        <v>303</v>
      </c>
      <c r="AN242" s="3" t="str">
        <f>IFERROR(MID(VLOOKUP($B242,Seqs!$A:$B,2,0),AO242,1),"")</f>
        <v>N</v>
      </c>
      <c r="AO242" s="2">
        <v>312</v>
      </c>
      <c r="AP242" s="3" t="str">
        <f>IFERROR(MID(VLOOKUP($B242,Seqs!$A:$B,2,0),AQ242,1),"")</f>
        <v>Y</v>
      </c>
      <c r="AQ242" s="2">
        <v>350</v>
      </c>
      <c r="AR242" s="3" t="str">
        <f>IFERROR(MID(VLOOKUP($B242,Seqs!$A:$B,2,0),AS242,1),"")</f>
        <v>R</v>
      </c>
      <c r="AS242" s="2">
        <v>357</v>
      </c>
      <c r="AT242" s="3" t="str">
        <f>IFERROR(MID(VLOOKUP($B242,Seqs!$A:$B,2,0),AU242,1),"")</f>
        <v>V</v>
      </c>
      <c r="AU242" s="2">
        <v>389</v>
      </c>
      <c r="AV242" s="3" t="str">
        <f>IFERROR(MID(VLOOKUP($B242,Seqs!$A:$B,2,0),AW242,1),"")</f>
        <v>S</v>
      </c>
      <c r="AW242" s="2">
        <v>390</v>
      </c>
      <c r="AX242" s="3" t="str">
        <f>IFERROR(MID(VLOOKUP($B242,Seqs!$A:$B,2,0),AY242,1),"")</f>
        <v>L</v>
      </c>
      <c r="AY242" s="2">
        <v>401</v>
      </c>
      <c r="AZ242" s="77" t="str">
        <f>VLOOKUP(B242,Classification!A:D,2,0)</f>
        <v>A</v>
      </c>
      <c r="BA242" s="94" t="str">
        <f>VLOOKUP(B242,Classification!A:D,4,0)</f>
        <v>Endothelin</v>
      </c>
      <c r="BB242" s="27" t="b">
        <f t="shared" si="2039"/>
        <v>1</v>
      </c>
      <c r="BC242" s="23">
        <f t="shared" si="2040"/>
        <v>257</v>
      </c>
      <c r="BD242" s="2" t="s">
        <v>23</v>
      </c>
      <c r="BE242" s="3" t="s">
        <v>1370</v>
      </c>
      <c r="BF242" s="118">
        <v>2.7</v>
      </c>
      <c r="BG242" s="49" t="s">
        <v>1</v>
      </c>
      <c r="BH242" s="49" t="s">
        <v>1</v>
      </c>
      <c r="BI242" s="2"/>
      <c r="BJ242" s="70" t="s">
        <v>1283</v>
      </c>
      <c r="BK242" s="57" t="s">
        <v>1283</v>
      </c>
      <c r="BL242" s="57" t="s">
        <v>1283</v>
      </c>
      <c r="BM242" s="57" t="s">
        <v>1283</v>
      </c>
      <c r="BN242" s="57" t="s">
        <v>1283</v>
      </c>
      <c r="BO242" s="57" t="s">
        <v>1283</v>
      </c>
      <c r="BP242" s="57" t="s">
        <v>1283</v>
      </c>
      <c r="BQ242" s="57" t="s">
        <v>1283</v>
      </c>
      <c r="BR242" s="57" t="s">
        <v>1283</v>
      </c>
      <c r="BS242" s="57" t="s">
        <v>1283</v>
      </c>
      <c r="BT242" s="57" t="s">
        <v>1283</v>
      </c>
      <c r="BU242" s="57" t="s">
        <v>1283</v>
      </c>
      <c r="BV242" s="70">
        <f t="shared" si="2041"/>
        <v>97</v>
      </c>
      <c r="BW242" s="71" t="str">
        <f t="shared" si="2042"/>
        <v>-</v>
      </c>
      <c r="BX242" s="72">
        <f t="shared" si="2043"/>
        <v>134</v>
      </c>
      <c r="BY242" s="71">
        <f t="shared" si="2044"/>
        <v>166</v>
      </c>
      <c r="BZ242" s="72">
        <f t="shared" si="2045"/>
        <v>170</v>
      </c>
      <c r="CA242" s="71" t="str">
        <f t="shared" si="2046"/>
        <v>-</v>
      </c>
      <c r="CB242" s="72">
        <f t="shared" si="2047"/>
        <v>217</v>
      </c>
      <c r="CC242" s="71">
        <f t="shared" si="2048"/>
        <v>255</v>
      </c>
      <c r="CD242" s="72">
        <f t="shared" si="2049"/>
        <v>263</v>
      </c>
      <c r="CE242" s="71">
        <f t="shared" si="2050"/>
        <v>312</v>
      </c>
      <c r="CF242" s="72">
        <f t="shared" si="2051"/>
        <v>357</v>
      </c>
      <c r="CG242" s="71">
        <f t="shared" si="2052"/>
        <v>390</v>
      </c>
      <c r="CH242" s="70">
        <f t="shared" si="2053"/>
        <v>129</v>
      </c>
      <c r="CI242" s="71" t="str">
        <f t="shared" si="2054"/>
        <v>-</v>
      </c>
      <c r="CJ242" s="72">
        <f t="shared" si="2055"/>
        <v>165</v>
      </c>
      <c r="CK242" s="72">
        <f t="shared" si="2056"/>
        <v>169</v>
      </c>
      <c r="CL242" s="72">
        <f t="shared" si="2057"/>
        <v>203</v>
      </c>
      <c r="CM242" s="72" t="str">
        <f t="shared" si="2058"/>
        <v>-</v>
      </c>
      <c r="CN242" s="72">
        <f t="shared" si="2059"/>
        <v>240</v>
      </c>
      <c r="CO242" s="72">
        <f t="shared" si="2060"/>
        <v>257</v>
      </c>
      <c r="CP242" s="72">
        <f t="shared" si="2061"/>
        <v>303</v>
      </c>
      <c r="CQ242" s="72">
        <f t="shared" si="2062"/>
        <v>350</v>
      </c>
      <c r="CR242" s="72">
        <f t="shared" si="2063"/>
        <v>389</v>
      </c>
      <c r="CS242" s="72">
        <f t="shared" si="2064"/>
        <v>401</v>
      </c>
      <c r="CT242" s="23" t="e">
        <f t="shared" si="2065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2038"/>
        <v>ednrb_human_6IGK</v>
      </c>
      <c r="B243" s="2" t="s">
        <v>196</v>
      </c>
      <c r="C243" s="2" t="s">
        <v>1525</v>
      </c>
      <c r="D243" s="3" t="str">
        <f>IFERROR(MID(VLOOKUP($B243,Seqs!$A:$B,2,0),E243,1),"")</f>
        <v>K</v>
      </c>
      <c r="E243" s="2">
        <v>97</v>
      </c>
      <c r="F243" s="3" t="str">
        <f>IFERROR(MID(VLOOKUP($B243,Seqs!$A:$B,2,0),G243,1),"")</f>
        <v>N</v>
      </c>
      <c r="G243" s="2">
        <v>129</v>
      </c>
      <c r="H243" s="3" t="str">
        <f>IFERROR(MID(VLOOKUP($B243,Seqs!$A:$B,2,0),I243,1),"")</f>
        <v/>
      </c>
      <c r="I243" s="56" t="s">
        <v>23</v>
      </c>
      <c r="J243" s="3" t="str">
        <f>IFERROR(MID(VLOOKUP($B243,Seqs!$A:$B,2,0),K243,1),"")</f>
        <v/>
      </c>
      <c r="K243" s="56" t="s">
        <v>23</v>
      </c>
      <c r="L243" s="3" t="str">
        <f>IFERROR(MID(VLOOKUP($B243,Seqs!$A:$B,2,0),M243,1),"")</f>
        <v>N</v>
      </c>
      <c r="M243" s="2">
        <v>134</v>
      </c>
      <c r="N243" s="3" t="str">
        <f>IFERROR(MID(VLOOKUP($B243,Seqs!$A:$B,2,0),O243,1),"")</f>
        <v>E</v>
      </c>
      <c r="O243" s="2">
        <v>165</v>
      </c>
      <c r="P243" s="3" t="str">
        <f>IFERROR(MID(VLOOKUP($B243,Seqs!$A:$B,2,0),Q243,1),"")</f>
        <v>D</v>
      </c>
      <c r="Q243" s="2">
        <v>166</v>
      </c>
      <c r="R243" s="3" t="str">
        <f>IFERROR(MID(VLOOKUP($B243,Seqs!$A:$B,2,0),S243,1),"")</f>
        <v>F</v>
      </c>
      <c r="S243" s="2">
        <v>169</v>
      </c>
      <c r="T243" s="3" t="str">
        <f>IFERROR(MID(VLOOKUP($B243,Seqs!$A:$B,2,0),U243,1),"")</f>
        <v>G</v>
      </c>
      <c r="U243" s="4">
        <v>170</v>
      </c>
      <c r="V243" s="3" t="str">
        <f>IFERROR(MID(VLOOKUP($B243,Seqs!$A:$B,2,0),W243,1),"")</f>
        <v>S</v>
      </c>
      <c r="W243" s="2">
        <v>205</v>
      </c>
      <c r="X243" s="3" t="str">
        <f>IFERROR(MID(VLOOKUP($B243,Seqs!$A:$B,2,0),Y243,1),"")</f>
        <v/>
      </c>
      <c r="Y243" s="2" t="s">
        <v>23</v>
      </c>
      <c r="Z243" s="3" t="str">
        <f>IFERROR(MID(VLOOKUP($B243,Seqs!$A:$B,2,0),AA243,1),"")</f>
        <v/>
      </c>
      <c r="AA243" s="2" t="s">
        <v>23</v>
      </c>
      <c r="AB243" s="3" t="str">
        <f>IFERROR(MID(VLOOKUP($B243,Seqs!$A:$B,2,0),AC243,1),"")</f>
        <v>P</v>
      </c>
      <c r="AC243" s="2">
        <v>215</v>
      </c>
      <c r="AD243" s="3" t="str">
        <f>IFERROR(MID(VLOOKUP($B243,Seqs!$A:$B,2,0),AE243,1),"")</f>
        <v>F</v>
      </c>
      <c r="AE243" s="2">
        <v>240</v>
      </c>
      <c r="AF243" s="3" t="str">
        <f>IFERROR(MID(VLOOKUP($B243,Seqs!$A:$B,2,0),AG243,1),"")</f>
        <v>C</v>
      </c>
      <c r="AG243" s="2">
        <v>255</v>
      </c>
      <c r="AH243" s="3" t="str">
        <f>IFERROR(MID(VLOOKUP($B243,Seqs!$A:$B,2,0),AI243,1),"")</f>
        <v>L</v>
      </c>
      <c r="AI243" s="2">
        <v>257</v>
      </c>
      <c r="AJ243" s="3" t="str">
        <f>IFERROR(MID(VLOOKUP($B243,Seqs!$A:$B,2,0),AK243,1),"")</f>
        <v>T</v>
      </c>
      <c r="AK243" s="2">
        <v>263</v>
      </c>
      <c r="AL243" s="3" t="str">
        <f>IFERROR(MID(VLOOKUP($B243,Seqs!$A:$B,2,0),AM243,1),"")</f>
        <v>K</v>
      </c>
      <c r="AM243" s="2">
        <v>303</v>
      </c>
      <c r="AN243" s="3" t="str">
        <f>IFERROR(MID(VLOOKUP($B243,Seqs!$A:$B,2,0),AO243,1),"")</f>
        <v>N</v>
      </c>
      <c r="AO243" s="2">
        <v>312</v>
      </c>
      <c r="AP243" s="3" t="str">
        <f>IFERROR(MID(VLOOKUP($B243,Seqs!$A:$B,2,0),AQ243,1),"")</f>
        <v>Y</v>
      </c>
      <c r="AQ243" s="2">
        <v>350</v>
      </c>
      <c r="AR243" s="3" t="str">
        <f>IFERROR(MID(VLOOKUP($B243,Seqs!$A:$B,2,0),AS243,1),"")</f>
        <v>N</v>
      </c>
      <c r="AS243" s="2">
        <v>356</v>
      </c>
      <c r="AT243" s="3" t="str">
        <f>IFERROR(MID(VLOOKUP($B243,Seqs!$A:$B,2,0),AU243,1),"")</f>
        <v>V</v>
      </c>
      <c r="AU243" s="2">
        <v>389</v>
      </c>
      <c r="AV243" s="3" t="str">
        <f>IFERROR(MID(VLOOKUP($B243,Seqs!$A:$B,2,0),AW243,1),"")</f>
        <v>S</v>
      </c>
      <c r="AW243" s="2">
        <v>390</v>
      </c>
      <c r="AX243" s="3" t="str">
        <f>IFERROR(MID(VLOOKUP($B243,Seqs!$A:$B,2,0),AY243,1),"")</f>
        <v>C</v>
      </c>
      <c r="AY243" s="2">
        <v>402</v>
      </c>
      <c r="AZ243" s="77" t="str">
        <f>VLOOKUP(B243,Classification!A:D,2,0)</f>
        <v>A</v>
      </c>
      <c r="BA243" s="94" t="str">
        <f>VLOOKUP(B243,Classification!A:D,4,0)</f>
        <v>Endothelin</v>
      </c>
      <c r="BB243" s="27" t="b">
        <f t="shared" si="2039"/>
        <v>1</v>
      </c>
      <c r="BC243" s="23">
        <f t="shared" si="2040"/>
        <v>263</v>
      </c>
      <c r="BD243" s="2" t="s">
        <v>23</v>
      </c>
      <c r="BE243" s="3" t="s">
        <v>1370</v>
      </c>
      <c r="BF243" s="118">
        <v>2</v>
      </c>
      <c r="BG243" s="49" t="s">
        <v>1</v>
      </c>
      <c r="BH243" s="49" t="s">
        <v>1</v>
      </c>
      <c r="BI243" s="2"/>
      <c r="BJ243" s="70" t="s">
        <v>1283</v>
      </c>
      <c r="BK243" s="57" t="s">
        <v>1283</v>
      </c>
      <c r="BL243" s="57" t="s">
        <v>1283</v>
      </c>
      <c r="BM243" s="57" t="s">
        <v>1283</v>
      </c>
      <c r="BN243" s="57" t="s">
        <v>1283</v>
      </c>
      <c r="BO243" s="57" t="s">
        <v>1283</v>
      </c>
      <c r="BP243" s="57" t="s">
        <v>1283</v>
      </c>
      <c r="BQ243" s="57" t="s">
        <v>1283</v>
      </c>
      <c r="BR243" s="57" t="s">
        <v>1283</v>
      </c>
      <c r="BS243" s="57" t="s">
        <v>1283</v>
      </c>
      <c r="BT243" s="57" t="s">
        <v>1283</v>
      </c>
      <c r="BU243" s="57" t="s">
        <v>1283</v>
      </c>
      <c r="BV243" s="70">
        <f t="shared" si="2041"/>
        <v>97</v>
      </c>
      <c r="BW243" s="71" t="str">
        <f t="shared" si="2042"/>
        <v>-</v>
      </c>
      <c r="BX243" s="72">
        <f t="shared" si="2043"/>
        <v>134</v>
      </c>
      <c r="BY243" s="71">
        <f t="shared" si="2044"/>
        <v>166</v>
      </c>
      <c r="BZ243" s="72">
        <f t="shared" si="2045"/>
        <v>170</v>
      </c>
      <c r="CA243" s="71" t="str">
        <f t="shared" si="2046"/>
        <v>-</v>
      </c>
      <c r="CB243" s="72">
        <f t="shared" si="2047"/>
        <v>215</v>
      </c>
      <c r="CC243" s="71">
        <f t="shared" si="2048"/>
        <v>255</v>
      </c>
      <c r="CD243" s="72">
        <f t="shared" si="2049"/>
        <v>263</v>
      </c>
      <c r="CE243" s="71">
        <f t="shared" si="2050"/>
        <v>312</v>
      </c>
      <c r="CF243" s="72">
        <f t="shared" si="2051"/>
        <v>356</v>
      </c>
      <c r="CG243" s="71">
        <f t="shared" si="2052"/>
        <v>390</v>
      </c>
      <c r="CH243" s="70">
        <f t="shared" si="2053"/>
        <v>129</v>
      </c>
      <c r="CI243" s="71" t="str">
        <f t="shared" si="2054"/>
        <v>-</v>
      </c>
      <c r="CJ243" s="72">
        <f t="shared" si="2055"/>
        <v>165</v>
      </c>
      <c r="CK243" s="72">
        <f t="shared" si="2056"/>
        <v>169</v>
      </c>
      <c r="CL243" s="72">
        <f t="shared" si="2057"/>
        <v>205</v>
      </c>
      <c r="CM243" s="72" t="str">
        <f t="shared" si="2058"/>
        <v>-</v>
      </c>
      <c r="CN243" s="72">
        <f t="shared" si="2059"/>
        <v>240</v>
      </c>
      <c r="CO243" s="72">
        <f t="shared" si="2060"/>
        <v>257</v>
      </c>
      <c r="CP243" s="72">
        <f t="shared" si="2061"/>
        <v>303</v>
      </c>
      <c r="CQ243" s="72">
        <f t="shared" si="2062"/>
        <v>350</v>
      </c>
      <c r="CR243" s="72">
        <f t="shared" si="2063"/>
        <v>389</v>
      </c>
      <c r="CS243" s="72">
        <f t="shared" si="2064"/>
        <v>402</v>
      </c>
      <c r="CT243" s="23" t="e">
        <f t="shared" si="2065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2038"/>
        <v>ednrb_human_6K1Q</v>
      </c>
      <c r="B244" s="2" t="s">
        <v>196</v>
      </c>
      <c r="C244" s="2" t="s">
        <v>1582</v>
      </c>
      <c r="D244" s="3" t="str">
        <f>IFERROR(MID(VLOOKUP($B244,Seqs!$A:$B,2,0),E244,1),"")</f>
        <v>Q</v>
      </c>
      <c r="E244" s="2">
        <v>91</v>
      </c>
      <c r="F244" s="3" t="str">
        <f>IFERROR(MID(VLOOKUP($B244,Seqs!$A:$B,2,0),G244,1),"")</f>
        <v>N</v>
      </c>
      <c r="G244" s="2">
        <v>129</v>
      </c>
      <c r="H244" s="3" t="str">
        <f>IFERROR(MID(VLOOKUP($B244,Seqs!$A:$B,2,0),I244,1),"")</f>
        <v/>
      </c>
      <c r="I244" s="56" t="s">
        <v>23</v>
      </c>
      <c r="J244" s="3" t="str">
        <f>IFERROR(MID(VLOOKUP($B244,Seqs!$A:$B,2,0),K244,1),"")</f>
        <v/>
      </c>
      <c r="K244" s="56" t="s">
        <v>23</v>
      </c>
      <c r="L244" s="3" t="str">
        <f>IFERROR(MID(VLOOKUP($B244,Seqs!$A:$B,2,0),M244,1),"")</f>
        <v>N</v>
      </c>
      <c r="M244" s="2">
        <v>134</v>
      </c>
      <c r="N244" s="3" t="str">
        <f>IFERROR(MID(VLOOKUP($B244,Seqs!$A:$B,2,0),O244,1),"")</f>
        <v>A</v>
      </c>
      <c r="O244" s="2">
        <v>164</v>
      </c>
      <c r="P244" s="3" t="str">
        <f>IFERROR(MID(VLOOKUP($B244,Seqs!$A:$B,2,0),Q244,1),"")</f>
        <v>D</v>
      </c>
      <c r="Q244" s="2">
        <v>166</v>
      </c>
      <c r="R244" s="3" t="str">
        <f>IFERROR(MID(VLOOKUP($B244,Seqs!$A:$B,2,0),S244,1),"")</f>
        <v>F</v>
      </c>
      <c r="S244" s="2">
        <v>169</v>
      </c>
      <c r="T244" s="3" t="str">
        <f>IFERROR(MID(VLOOKUP($B244,Seqs!$A:$B,2,0),U244,1),"")</f>
        <v>G</v>
      </c>
      <c r="U244" s="4">
        <v>170</v>
      </c>
      <c r="V244" s="3" t="str">
        <f>IFERROR(MID(VLOOKUP($B244,Seqs!$A:$B,2,0),W244,1),"")</f>
        <v>V</v>
      </c>
      <c r="W244" s="2">
        <v>203</v>
      </c>
      <c r="X244" s="3" t="str">
        <f>IFERROR(MID(VLOOKUP($B244,Seqs!$A:$B,2,0),Y244,1),"")</f>
        <v/>
      </c>
      <c r="Y244" s="2" t="s">
        <v>23</v>
      </c>
      <c r="Z244" s="3" t="str">
        <f>IFERROR(MID(VLOOKUP($B244,Seqs!$A:$B,2,0),AA244,1),"")</f>
        <v/>
      </c>
      <c r="AA244" s="2" t="s">
        <v>23</v>
      </c>
      <c r="AB244" s="3" t="str">
        <f>IFERROR(MID(VLOOKUP($B244,Seqs!$A:$B,2,0),AC244,1),"")</f>
        <v>K</v>
      </c>
      <c r="AC244" s="2">
        <v>216</v>
      </c>
      <c r="AD244" s="3" t="str">
        <f>IFERROR(MID(VLOOKUP($B244,Seqs!$A:$B,2,0),AE244,1),"")</f>
        <v>F</v>
      </c>
      <c r="AE244" s="2">
        <v>240</v>
      </c>
      <c r="AF244" s="3" t="str">
        <f>IFERROR(MID(VLOOKUP($B244,Seqs!$A:$B,2,0),AG244,1),"")</f>
        <v>C</v>
      </c>
      <c r="AG244" s="2">
        <v>255</v>
      </c>
      <c r="AH244" s="3" t="str">
        <f>IFERROR(MID(VLOOKUP($B244,Seqs!$A:$B,2,0),AI244,1),"")</f>
        <v>L</v>
      </c>
      <c r="AI244" s="2">
        <v>257</v>
      </c>
      <c r="AJ244" s="3" t="str">
        <f>IFERROR(MID(VLOOKUP($B244,Seqs!$A:$B,2,0),AK244,1),"")</f>
        <v>T</v>
      </c>
      <c r="AK244" s="2">
        <v>263</v>
      </c>
      <c r="AL244" s="3" t="str">
        <f>IFERROR(MID(VLOOKUP($B244,Seqs!$A:$B,2,0),AM244,1),"")</f>
        <v>K</v>
      </c>
      <c r="AM244" s="2">
        <v>303</v>
      </c>
      <c r="AN244" s="3" t="str">
        <f>IFERROR(MID(VLOOKUP($B244,Seqs!$A:$B,2,0),AO244,1),"")</f>
        <v>N</v>
      </c>
      <c r="AO244" s="2">
        <v>312</v>
      </c>
      <c r="AP244" s="3" t="str">
        <f>IFERROR(MID(VLOOKUP($B244,Seqs!$A:$B,2,0),AQ244,1),"")</f>
        <v>L</v>
      </c>
      <c r="AQ244" s="2">
        <v>349</v>
      </c>
      <c r="AR244" s="3" t="str">
        <f>IFERROR(MID(VLOOKUP($B244,Seqs!$A:$B,2,0),AS244,1),"")</f>
        <v>N</v>
      </c>
      <c r="AS244" s="2">
        <v>356</v>
      </c>
      <c r="AT244" s="3" t="str">
        <f>IFERROR(MID(VLOOKUP($B244,Seqs!$A:$B,2,0),AU244,1),"")</f>
        <v>V</v>
      </c>
      <c r="AU244" s="2">
        <v>389</v>
      </c>
      <c r="AV244" s="3" t="str">
        <f>IFERROR(MID(VLOOKUP($B244,Seqs!$A:$B,2,0),AW244,1),"")</f>
        <v>S</v>
      </c>
      <c r="AW244" s="2">
        <v>390</v>
      </c>
      <c r="AX244" s="3" t="str">
        <f>IFERROR(MID(VLOOKUP($B244,Seqs!$A:$B,2,0),AY244,1),"")</f>
        <v>C</v>
      </c>
      <c r="AY244" s="2">
        <v>403</v>
      </c>
      <c r="AZ244" s="77" t="str">
        <f>VLOOKUP(B244,Classification!A:D,2,0)</f>
        <v>A</v>
      </c>
      <c r="BA244" s="94" t="str">
        <f>VLOOKUP(B244,Classification!A:D,4,0)</f>
        <v>Endothelin</v>
      </c>
      <c r="BB244" s="27" t="b">
        <f t="shared" si="2039"/>
        <v>1</v>
      </c>
      <c r="BC244" s="23">
        <f t="shared" si="2040"/>
        <v>265</v>
      </c>
      <c r="BD244" s="2" t="s">
        <v>23</v>
      </c>
      <c r="BE244" s="3" t="s">
        <v>1370</v>
      </c>
      <c r="BF244" s="118">
        <v>2.7</v>
      </c>
      <c r="BG244" s="49" t="s">
        <v>1</v>
      </c>
      <c r="BH244" s="49" t="s">
        <v>1</v>
      </c>
      <c r="BI244" s="2"/>
      <c r="BJ244" s="70" t="s">
        <v>1283</v>
      </c>
      <c r="BK244" s="57" t="s">
        <v>1283</v>
      </c>
      <c r="BL244" s="57" t="s">
        <v>1283</v>
      </c>
      <c r="BM244" s="57" t="s">
        <v>1283</v>
      </c>
      <c r="BN244" s="57" t="s">
        <v>1283</v>
      </c>
      <c r="BO244" s="57" t="s">
        <v>1283</v>
      </c>
      <c r="BP244" s="57" t="s">
        <v>1283</v>
      </c>
      <c r="BQ244" s="57" t="s">
        <v>1283</v>
      </c>
      <c r="BR244" s="57" t="s">
        <v>1283</v>
      </c>
      <c r="BS244" s="57" t="s">
        <v>1283</v>
      </c>
      <c r="BT244" s="57" t="s">
        <v>1283</v>
      </c>
      <c r="BU244" s="57" t="s">
        <v>1283</v>
      </c>
      <c r="BV244" s="70">
        <f t="shared" si="2041"/>
        <v>91</v>
      </c>
      <c r="BW244" s="71" t="str">
        <f t="shared" si="2042"/>
        <v>-</v>
      </c>
      <c r="BX244" s="72">
        <f t="shared" si="2043"/>
        <v>134</v>
      </c>
      <c r="BY244" s="71">
        <f t="shared" si="2044"/>
        <v>166</v>
      </c>
      <c r="BZ244" s="72">
        <f t="shared" si="2045"/>
        <v>170</v>
      </c>
      <c r="CA244" s="71" t="str">
        <f t="shared" si="2046"/>
        <v>-</v>
      </c>
      <c r="CB244" s="72">
        <f t="shared" si="2047"/>
        <v>216</v>
      </c>
      <c r="CC244" s="71">
        <f t="shared" si="2048"/>
        <v>255</v>
      </c>
      <c r="CD244" s="72">
        <f t="shared" si="2049"/>
        <v>263</v>
      </c>
      <c r="CE244" s="71">
        <f t="shared" si="2050"/>
        <v>312</v>
      </c>
      <c r="CF244" s="72">
        <f t="shared" si="2051"/>
        <v>356</v>
      </c>
      <c r="CG244" s="71">
        <f t="shared" si="2052"/>
        <v>390</v>
      </c>
      <c r="CH244" s="70">
        <f t="shared" si="2053"/>
        <v>129</v>
      </c>
      <c r="CI244" s="71" t="str">
        <f t="shared" si="2054"/>
        <v>-</v>
      </c>
      <c r="CJ244" s="72">
        <f t="shared" si="2055"/>
        <v>164</v>
      </c>
      <c r="CK244" s="72">
        <f t="shared" si="2056"/>
        <v>169</v>
      </c>
      <c r="CL244" s="72">
        <f t="shared" si="2057"/>
        <v>203</v>
      </c>
      <c r="CM244" s="72" t="str">
        <f t="shared" si="2058"/>
        <v>-</v>
      </c>
      <c r="CN244" s="72">
        <f t="shared" si="2059"/>
        <v>240</v>
      </c>
      <c r="CO244" s="72">
        <f t="shared" si="2060"/>
        <v>257</v>
      </c>
      <c r="CP244" s="72">
        <f t="shared" si="2061"/>
        <v>303</v>
      </c>
      <c r="CQ244" s="72">
        <f t="shared" si="2062"/>
        <v>349</v>
      </c>
      <c r="CR244" s="72">
        <f t="shared" si="2063"/>
        <v>389</v>
      </c>
      <c r="CS244" s="72">
        <f t="shared" si="2064"/>
        <v>403</v>
      </c>
      <c r="CT244" s="23" t="e">
        <f t="shared" si="2065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2038"/>
        <v>ednrb_human_6LRY</v>
      </c>
      <c r="B245" s="2" t="s">
        <v>196</v>
      </c>
      <c r="C245" s="2" t="s">
        <v>1644</v>
      </c>
      <c r="D245" s="3" t="str">
        <f>IFERROR(MID(VLOOKUP($B245,Seqs!$A:$B,2,0),E245,1),"")</f>
        <v>K</v>
      </c>
      <c r="E245" s="2">
        <v>97</v>
      </c>
      <c r="F245" s="3" t="str">
        <f>IFERROR(MID(VLOOKUP($B245,Seqs!$A:$B,2,0),G245,1),"")</f>
        <v>N</v>
      </c>
      <c r="G245" s="2">
        <v>129</v>
      </c>
      <c r="H245" s="3" t="str">
        <f>IFERROR(MID(VLOOKUP($B245,Seqs!$A:$B,2,0),I245,1),"")</f>
        <v/>
      </c>
      <c r="I245" s="56" t="s">
        <v>23</v>
      </c>
      <c r="J245" s="3" t="str">
        <f>IFERROR(MID(VLOOKUP($B245,Seqs!$A:$B,2,0),K245,1),"")</f>
        <v/>
      </c>
      <c r="K245" s="56" t="s">
        <v>23</v>
      </c>
      <c r="L245" s="3" t="str">
        <f>IFERROR(MID(VLOOKUP($B245,Seqs!$A:$B,2,0),M245,1),"")</f>
        <v>G</v>
      </c>
      <c r="M245" s="2">
        <v>135</v>
      </c>
      <c r="N245" s="3" t="str">
        <f>IFERROR(MID(VLOOKUP($B245,Seqs!$A:$B,2,0),O245,1),"")</f>
        <v>A</v>
      </c>
      <c r="O245" s="2">
        <v>164</v>
      </c>
      <c r="P245" s="3" t="str">
        <f>IFERROR(MID(VLOOKUP($B245,Seqs!$A:$B,2,0),Q245,1),"")</f>
        <v>D</v>
      </c>
      <c r="Q245" s="2">
        <v>166</v>
      </c>
      <c r="R245" s="3" t="str">
        <f>IFERROR(MID(VLOOKUP($B245,Seqs!$A:$B,2,0),S245,1),"")</f>
        <v>F</v>
      </c>
      <c r="S245" s="2">
        <v>169</v>
      </c>
      <c r="T245" s="3" t="str">
        <f>IFERROR(MID(VLOOKUP($B245,Seqs!$A:$B,2,0),U245,1),"")</f>
        <v>G</v>
      </c>
      <c r="U245" s="4">
        <v>170</v>
      </c>
      <c r="V245" s="3" t="str">
        <f>IFERROR(MID(VLOOKUP($B245,Seqs!$A:$B,2,0),W245,1),"")</f>
        <v>A</v>
      </c>
      <c r="W245" s="2">
        <v>204</v>
      </c>
      <c r="X245" s="3" t="str">
        <f>IFERROR(MID(VLOOKUP($B245,Seqs!$A:$B,2,0),Y245,1),"")</f>
        <v/>
      </c>
      <c r="Y245" s="2" t="s">
        <v>23</v>
      </c>
      <c r="Z245" s="3" t="str">
        <f>IFERROR(MID(VLOOKUP($B245,Seqs!$A:$B,2,0),AA245,1),"")</f>
        <v/>
      </c>
      <c r="AA245" s="2" t="s">
        <v>23</v>
      </c>
      <c r="AB245" s="3" t="str">
        <f>IFERROR(MID(VLOOKUP($B245,Seqs!$A:$B,2,0),AC245,1),"")</f>
        <v>K</v>
      </c>
      <c r="AC245" s="2">
        <v>216</v>
      </c>
      <c r="AD245" s="3" t="str">
        <f>IFERROR(MID(VLOOKUP($B245,Seqs!$A:$B,2,0),AE245,1),"")</f>
        <v>F</v>
      </c>
      <c r="AE245" s="2">
        <v>240</v>
      </c>
      <c r="AF245" s="3" t="str">
        <f>IFERROR(MID(VLOOKUP($B245,Seqs!$A:$B,2,0),AG245,1),"")</f>
        <v>C</v>
      </c>
      <c r="AG245" s="2">
        <v>255</v>
      </c>
      <c r="AH245" s="3" t="str">
        <f>IFERROR(MID(VLOOKUP($B245,Seqs!$A:$B,2,0),AI245,1),"")</f>
        <v>L</v>
      </c>
      <c r="AI245" s="2">
        <v>257</v>
      </c>
      <c r="AJ245" s="3" t="str">
        <f>IFERROR(MID(VLOOKUP($B245,Seqs!$A:$B,2,0),AK245,1),"")</f>
        <v>T</v>
      </c>
      <c r="AK245" s="2">
        <v>263</v>
      </c>
      <c r="AL245" s="3" t="str">
        <f>IFERROR(MID(VLOOKUP($B245,Seqs!$A:$B,2,0),AM245,1),"")</f>
        <v>K</v>
      </c>
      <c r="AM245" s="2">
        <v>303</v>
      </c>
      <c r="AN245" s="3" t="str">
        <f>IFERROR(MID(VLOOKUP($B245,Seqs!$A:$B,2,0),AO245,1),"")</f>
        <v>N</v>
      </c>
      <c r="AO245" s="2">
        <v>312</v>
      </c>
      <c r="AP245" s="3" t="str">
        <f>IFERROR(MID(VLOOKUP($B245,Seqs!$A:$B,2,0),AQ245,1),"")</f>
        <v>Y</v>
      </c>
      <c r="AQ245" s="2">
        <v>350</v>
      </c>
      <c r="AR245" s="3" t="str">
        <f>IFERROR(MID(VLOOKUP($B245,Seqs!$A:$B,2,0),AS245,1),"")</f>
        <v>R</v>
      </c>
      <c r="AS245" s="2">
        <v>357</v>
      </c>
      <c r="AT245" s="3" t="str">
        <f>IFERROR(MID(VLOOKUP($B245,Seqs!$A:$B,2,0),AU245,1),"")</f>
        <v>V</v>
      </c>
      <c r="AU245" s="2">
        <v>389</v>
      </c>
      <c r="AV245" s="3" t="str">
        <f>IFERROR(MID(VLOOKUP($B245,Seqs!$A:$B,2,0),AW245,1),"")</f>
        <v>S</v>
      </c>
      <c r="AW245" s="2">
        <v>390</v>
      </c>
      <c r="AX245" s="3" t="str">
        <f>IFERROR(MID(VLOOKUP($B245,Seqs!$A:$B,2,0),AY245,1),"")</f>
        <v>C</v>
      </c>
      <c r="AY245" s="2">
        <v>400</v>
      </c>
      <c r="AZ245" s="77" t="str">
        <f>VLOOKUP(B245,Classification!A:D,2,0)</f>
        <v>A</v>
      </c>
      <c r="BA245" s="94" t="str">
        <f>VLOOKUP(B245,Classification!A:D,4,0)</f>
        <v>Endothelin</v>
      </c>
      <c r="BB245" s="27" t="b">
        <f t="shared" si="2039"/>
        <v>1</v>
      </c>
      <c r="BC245" s="23">
        <f t="shared" si="2040"/>
        <v>256</v>
      </c>
      <c r="BD245" s="2" t="s">
        <v>1425</v>
      </c>
      <c r="BE245" s="3" t="s">
        <v>1467</v>
      </c>
      <c r="BF245" s="118">
        <v>3</v>
      </c>
      <c r="BG245" s="49" t="s">
        <v>1</v>
      </c>
      <c r="BH245" s="49" t="s">
        <v>1</v>
      </c>
      <c r="BI245" s="2"/>
      <c r="BJ245" s="70" t="s">
        <v>1283</v>
      </c>
      <c r="BK245" s="57" t="s">
        <v>1283</v>
      </c>
      <c r="BL245" s="57" t="s">
        <v>1283</v>
      </c>
      <c r="BM245" s="57" t="s">
        <v>1283</v>
      </c>
      <c r="BN245" s="57" t="s">
        <v>1283</v>
      </c>
      <c r="BO245" s="57" t="s">
        <v>1283</v>
      </c>
      <c r="BP245" s="57" t="s">
        <v>1283</v>
      </c>
      <c r="BQ245" s="57" t="s">
        <v>1283</v>
      </c>
      <c r="BR245" s="57" t="s">
        <v>1283</v>
      </c>
      <c r="BS245" s="57" t="s">
        <v>1283</v>
      </c>
      <c r="BT245" s="57" t="s">
        <v>1283</v>
      </c>
      <c r="BU245" s="57" t="s">
        <v>1283</v>
      </c>
      <c r="BV245" s="70">
        <f t="shared" si="2041"/>
        <v>97</v>
      </c>
      <c r="BW245" s="71" t="str">
        <f t="shared" si="2042"/>
        <v>-</v>
      </c>
      <c r="BX245" s="72">
        <f t="shared" si="2043"/>
        <v>135</v>
      </c>
      <c r="BY245" s="71">
        <f t="shared" si="2044"/>
        <v>166</v>
      </c>
      <c r="BZ245" s="72">
        <f t="shared" si="2045"/>
        <v>170</v>
      </c>
      <c r="CA245" s="71" t="str">
        <f t="shared" si="2046"/>
        <v>-</v>
      </c>
      <c r="CB245" s="72">
        <f t="shared" si="2047"/>
        <v>216</v>
      </c>
      <c r="CC245" s="71">
        <f t="shared" si="2048"/>
        <v>255</v>
      </c>
      <c r="CD245" s="72">
        <f t="shared" si="2049"/>
        <v>263</v>
      </c>
      <c r="CE245" s="71">
        <f t="shared" si="2050"/>
        <v>312</v>
      </c>
      <c r="CF245" s="72">
        <f t="shared" si="2051"/>
        <v>357</v>
      </c>
      <c r="CG245" s="71">
        <f t="shared" si="2052"/>
        <v>390</v>
      </c>
      <c r="CH245" s="70">
        <f t="shared" si="2053"/>
        <v>129</v>
      </c>
      <c r="CI245" s="71" t="str">
        <f t="shared" si="2054"/>
        <v>-</v>
      </c>
      <c r="CJ245" s="72">
        <f t="shared" si="2055"/>
        <v>164</v>
      </c>
      <c r="CK245" s="72">
        <f t="shared" si="2056"/>
        <v>169</v>
      </c>
      <c r="CL245" s="72">
        <f t="shared" si="2057"/>
        <v>204</v>
      </c>
      <c r="CM245" s="72" t="str">
        <f t="shared" si="2058"/>
        <v>-</v>
      </c>
      <c r="CN245" s="72">
        <f t="shared" si="2059"/>
        <v>240</v>
      </c>
      <c r="CO245" s="72">
        <f t="shared" si="2060"/>
        <v>257</v>
      </c>
      <c r="CP245" s="72">
        <f t="shared" si="2061"/>
        <v>303</v>
      </c>
      <c r="CQ245" s="72">
        <f t="shared" si="2062"/>
        <v>350</v>
      </c>
      <c r="CR245" s="72">
        <f t="shared" si="2063"/>
        <v>389</v>
      </c>
      <c r="CS245" s="72">
        <f t="shared" si="2064"/>
        <v>400</v>
      </c>
      <c r="CT245" s="23" t="e">
        <f t="shared" si="2065"/>
        <v>#VALUE!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 t="shared" si="1231"/>
        <v>ffar1_human__wt</v>
      </c>
      <c r="B246" s="3" t="s">
        <v>1168</v>
      </c>
      <c r="C246" s="3" t="s">
        <v>100</v>
      </c>
      <c r="D246" s="3" t="str">
        <f>IFERROR(MID(VLOOKUP($B246,Seqs!$A:$B,2,0),E246,1),"")</f>
        <v>P</v>
      </c>
      <c r="E246" s="3">
        <v>4</v>
      </c>
      <c r="F246" s="3" t="str">
        <f>IFERROR(MID(VLOOKUP($B246,Seqs!$A:$B,2,0),G246,1),"")</f>
        <v>R</v>
      </c>
      <c r="G246" s="3">
        <v>37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T</v>
      </c>
      <c r="M246" s="3">
        <v>39</v>
      </c>
      <c r="N246" s="3" t="str">
        <f>IFERROR(MID(VLOOKUP($B246,Seqs!$A:$B,2,0),O246,1),"")</f>
        <v>S</v>
      </c>
      <c r="O246" s="3">
        <v>69</v>
      </c>
      <c r="P246" s="3" t="str">
        <f>IFERROR(MID(VLOOKUP($B246,Seqs!$A:$B,2,0),Q246,1),"")</f>
        <v>A</v>
      </c>
      <c r="Q246" s="3">
        <v>71</v>
      </c>
      <c r="R246" s="3" t="str">
        <f>IFERROR(MID(VLOOKUP($B246,Seqs!$A:$B,2,0),S246,1),"")</f>
        <v>L</v>
      </c>
      <c r="S246" s="3">
        <v>74</v>
      </c>
      <c r="T246" s="3" t="str">
        <f>IFERROR(MID(VLOOKUP($B246,Seqs!$A:$B,2,0),U246,1),"")</f>
        <v>P</v>
      </c>
      <c r="U246" s="3">
        <v>75</v>
      </c>
      <c r="V246" s="3" t="str">
        <f>IFERROR(MID(VLOOKUP($B246,Seqs!$A:$B,2,0),W246,1),"")</f>
        <v>F</v>
      </c>
      <c r="W246" s="3">
        <v>110</v>
      </c>
      <c r="X246" s="3" t="str">
        <f>IFERROR(MID(VLOOKUP($B246,Seqs!$A:$B,2,0),Y246,1),"")</f>
        <v>P</v>
      </c>
      <c r="Y246" s="3">
        <v>111</v>
      </c>
      <c r="Z246" s="3" t="str">
        <f>IFERROR(MID(VLOOKUP($B246,Seqs!$A:$B,2,0),AA246,1),"")</f>
        <v>R</v>
      </c>
      <c r="AA246" s="3">
        <v>118</v>
      </c>
      <c r="AB246" s="3" t="str">
        <f>IFERROR(MID(VLOOKUP($B246,Seqs!$A:$B,2,0),AC246,1),"")</f>
        <v>R</v>
      </c>
      <c r="AC246" s="3">
        <v>119</v>
      </c>
      <c r="AD246" s="3" t="str">
        <f>IFERROR(MID(VLOOKUP($B246,Seqs!$A:$B,2,0),AE246,1),"")</f>
        <v>A</v>
      </c>
      <c r="AE246" s="3">
        <v>146</v>
      </c>
      <c r="AF246" s="3" t="str">
        <f>IFERROR(MID(VLOOKUP($B246,Seqs!$A:$B,2,0),AG246,1),"")</f>
        <v>C</v>
      </c>
      <c r="AG246" s="3">
        <v>170</v>
      </c>
      <c r="AH246" s="3" t="str">
        <f>IFERROR(MID(VLOOKUP($B246,Seqs!$A:$B,2,0),AI246,1),"")</f>
        <v>E</v>
      </c>
      <c r="AI246" s="3">
        <v>172</v>
      </c>
      <c r="AJ246" s="3" t="str">
        <f>IFERROR(MID(VLOOKUP($B246,Seqs!$A:$B,2,0),AK246,1),"")</f>
        <v>D</v>
      </c>
      <c r="AK246" s="3">
        <v>175</v>
      </c>
      <c r="AL246" s="3" t="str">
        <f>IFERROR(MID(VLOOKUP($B246,Seqs!$A:$B,2,0),AM246,1),"")</f>
        <v>R</v>
      </c>
      <c r="AM246" s="3">
        <v>211</v>
      </c>
      <c r="AN246" s="3" t="str">
        <f>IFERROR(MID(VLOOKUP($B246,Seqs!$A:$B,2,0),AO246,1),"")</f>
        <v>R</v>
      </c>
      <c r="AO246" s="3">
        <v>217</v>
      </c>
      <c r="AP246" s="3" t="str">
        <f>IFERROR(MID(VLOOKUP($B246,Seqs!$A:$B,2,0),AQ246,1),"")</f>
        <v>Y</v>
      </c>
      <c r="AQ246" s="3">
        <v>250</v>
      </c>
      <c r="AR246" s="3" t="str">
        <f>IFERROR(MID(VLOOKUP($B246,Seqs!$A:$B,2,0),AS246,1),"")</f>
        <v>G</v>
      </c>
      <c r="AS246" s="3">
        <v>255</v>
      </c>
      <c r="AT246" s="3" t="str">
        <f>IFERROR(MID(VLOOKUP($B246,Seqs!$A:$B,2,0),AU246,1),"")</f>
        <v>L</v>
      </c>
      <c r="AU246" s="3">
        <v>279</v>
      </c>
      <c r="AV246" s="3" t="str">
        <f>IFERROR(MID(VLOOKUP($B246,Seqs!$A:$B,2,0),AW246,1),"")</f>
        <v>G</v>
      </c>
      <c r="AW246" s="3">
        <v>280</v>
      </c>
      <c r="AX246" s="3" t="str">
        <f>IFERROR(MID(VLOOKUP($B246,Seqs!$A:$B,2,0),AY246,1),"")</f>
        <v>Q</v>
      </c>
      <c r="AY246" s="3">
        <v>294</v>
      </c>
      <c r="AZ246" s="77" t="str">
        <f>VLOOKUP(B246,Classification!A:D,2,0)</f>
        <v>A</v>
      </c>
      <c r="BA246" s="94" t="str">
        <f>VLOOKUP(B246,Classification!A:D,4,0)</f>
        <v>Freefattyacid</v>
      </c>
      <c r="BB246" s="27" t="b">
        <f t="shared" si="1232"/>
        <v>1</v>
      </c>
      <c r="BC246" s="23">
        <f t="shared" si="2012"/>
        <v>256</v>
      </c>
      <c r="BD246" s="34" t="s">
        <v>23</v>
      </c>
      <c r="BE246" s="3" t="s">
        <v>23</v>
      </c>
      <c r="BF246" s="118" t="s">
        <v>23</v>
      </c>
      <c r="BG246" s="49" t="s">
        <v>1368</v>
      </c>
      <c r="BH246" s="49" t="s">
        <v>1373</v>
      </c>
      <c r="BI246" s="1"/>
      <c r="BJ246" s="70" t="s">
        <v>1283</v>
      </c>
      <c r="BK246" s="57" t="s">
        <v>1283</v>
      </c>
      <c r="BL246" s="57" t="s">
        <v>1283</v>
      </c>
      <c r="BM246" s="57" t="s">
        <v>1283</v>
      </c>
      <c r="BN246" s="57" t="s">
        <v>1283</v>
      </c>
      <c r="BO246" s="57" t="s">
        <v>1283</v>
      </c>
      <c r="BP246" s="57" t="s">
        <v>1283</v>
      </c>
      <c r="BQ246" s="57" t="s">
        <v>1283</v>
      </c>
      <c r="BR246" s="57" t="s">
        <v>1283</v>
      </c>
      <c r="BS246" s="57" t="s">
        <v>1283</v>
      </c>
      <c r="BT246" s="57" t="s">
        <v>1283</v>
      </c>
      <c r="BU246" s="57" t="s">
        <v>1283</v>
      </c>
      <c r="BV246" s="70">
        <f t="shared" si="2013"/>
        <v>4</v>
      </c>
      <c r="BW246" s="71" t="str">
        <f t="shared" si="2014"/>
        <v>-</v>
      </c>
      <c r="BX246" s="72">
        <f t="shared" si="2015"/>
        <v>39</v>
      </c>
      <c r="BY246" s="71">
        <f t="shared" si="2016"/>
        <v>71</v>
      </c>
      <c r="BZ246" s="72">
        <f t="shared" si="2017"/>
        <v>75</v>
      </c>
      <c r="CA246" s="71">
        <f t="shared" si="2018"/>
        <v>111</v>
      </c>
      <c r="CB246" s="72">
        <f t="shared" si="2019"/>
        <v>119</v>
      </c>
      <c r="CC246" s="71">
        <f t="shared" si="2020"/>
        <v>170</v>
      </c>
      <c r="CD246" s="72">
        <f t="shared" si="2021"/>
        <v>175</v>
      </c>
      <c r="CE246" s="71">
        <f t="shared" si="2022"/>
        <v>217</v>
      </c>
      <c r="CF246" s="72">
        <f t="shared" si="2023"/>
        <v>255</v>
      </c>
      <c r="CG246" s="71">
        <f t="shared" si="2024"/>
        <v>280</v>
      </c>
      <c r="CH246" s="70">
        <f t="shared" si="2025"/>
        <v>37</v>
      </c>
      <c r="CI246" s="71" t="str">
        <f t="shared" si="2026"/>
        <v>-</v>
      </c>
      <c r="CJ246" s="72">
        <f t="shared" si="2027"/>
        <v>69</v>
      </c>
      <c r="CK246" s="72">
        <f t="shared" si="2028"/>
        <v>74</v>
      </c>
      <c r="CL246" s="72">
        <f t="shared" si="2029"/>
        <v>110</v>
      </c>
      <c r="CM246" s="72">
        <f t="shared" si="2030"/>
        <v>118</v>
      </c>
      <c r="CN246" s="72">
        <f t="shared" si="2031"/>
        <v>146</v>
      </c>
      <c r="CO246" s="72">
        <f t="shared" si="2032"/>
        <v>172</v>
      </c>
      <c r="CP246" s="72">
        <f t="shared" si="2033"/>
        <v>211</v>
      </c>
      <c r="CQ246" s="72">
        <f t="shared" si="2034"/>
        <v>250</v>
      </c>
      <c r="CR246" s="72">
        <f t="shared" si="2035"/>
        <v>279</v>
      </c>
      <c r="CS246" s="72">
        <f t="shared" si="2036"/>
        <v>294</v>
      </c>
      <c r="CT246" s="23" t="e">
        <f t="shared" si="2037"/>
        <v>#VALUE!</v>
      </c>
    </row>
    <row r="247" spans="1:1029" x14ac:dyDescent="0.2">
      <c r="A247" s="3" t="str">
        <f t="shared" si="1231"/>
        <v>ffar1_human_4PHU</v>
      </c>
      <c r="B247" s="3" t="s">
        <v>1168</v>
      </c>
      <c r="C247" s="3" t="s">
        <v>52</v>
      </c>
      <c r="D247" s="3" t="str">
        <f>IFERROR(MID(VLOOKUP($B247,Seqs!$A:$B,2,0),E247,1),"")</f>
        <v>P</v>
      </c>
      <c r="E247" s="3">
        <v>4</v>
      </c>
      <c r="F247" s="3" t="str">
        <f>IFERROR(MID(VLOOKUP($B247,Seqs!$A:$B,2,0),G247,1),"")</f>
        <v>R</v>
      </c>
      <c r="G247" s="3">
        <v>37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T</v>
      </c>
      <c r="M247" s="3">
        <v>39</v>
      </c>
      <c r="N247" s="3" t="str">
        <f>IFERROR(MID(VLOOKUP($B247,Seqs!$A:$B,2,0),O247,1),"")</f>
        <v>S</v>
      </c>
      <c r="O247" s="3">
        <v>69</v>
      </c>
      <c r="P247" s="3" t="str">
        <f>IFERROR(MID(VLOOKUP($B247,Seqs!$A:$B,2,0),Q247,1),"")</f>
        <v>A</v>
      </c>
      <c r="Q247" s="3">
        <v>71</v>
      </c>
      <c r="R247" s="3" t="str">
        <f>IFERROR(MID(VLOOKUP($B247,Seqs!$A:$B,2,0),S247,1),"")</f>
        <v>L</v>
      </c>
      <c r="S247" s="3">
        <v>74</v>
      </c>
      <c r="T247" s="3" t="str">
        <f>IFERROR(MID(VLOOKUP($B247,Seqs!$A:$B,2,0),U247,1),"")</f>
        <v>P</v>
      </c>
      <c r="U247" s="3">
        <v>75</v>
      </c>
      <c r="V247" s="3" t="str">
        <f>IFERROR(MID(VLOOKUP($B247,Seqs!$A:$B,2,0),W247,1),"")</f>
        <v>F</v>
      </c>
      <c r="W247" s="3">
        <v>110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C</v>
      </c>
      <c r="AC247" s="3">
        <v>121</v>
      </c>
      <c r="AD247" s="3" t="str">
        <f>IFERROR(MID(VLOOKUP($B247,Seqs!$A:$B,2,0),AE247,1),"")</f>
        <v>A</v>
      </c>
      <c r="AE247" s="3">
        <v>146</v>
      </c>
      <c r="AF247" s="3" t="str">
        <f>IFERROR(MID(VLOOKUP($B247,Seqs!$A:$B,2,0),AG247,1),"")</f>
        <v>C</v>
      </c>
      <c r="AG247" s="3">
        <v>170</v>
      </c>
      <c r="AH247" s="3" t="str">
        <f>IFERROR(MID(VLOOKUP($B247,Seqs!$A:$B,2,0),AI247,1),"")</f>
        <v>E</v>
      </c>
      <c r="AI247" s="3">
        <v>172</v>
      </c>
      <c r="AJ247" s="3" t="str">
        <f>IFERROR(MID(VLOOKUP($B247,Seqs!$A:$B,2,0),AK247,1),"")</f>
        <v>D</v>
      </c>
      <c r="AK247" s="3">
        <v>175</v>
      </c>
      <c r="AL247" s="3" t="str">
        <f>IFERROR(MID(VLOOKUP($B247,Seqs!$A:$B,2,0),AM247,1),"")</f>
        <v>R</v>
      </c>
      <c r="AM247" s="3">
        <v>211</v>
      </c>
      <c r="AN247" s="3" t="str">
        <f>IFERROR(MID(VLOOKUP($B247,Seqs!$A:$B,2,0),AO247,1),"")</f>
        <v/>
      </c>
      <c r="AO247" s="3">
        <v>2214</v>
      </c>
      <c r="AP247" s="3" t="str">
        <f>IFERROR(MID(VLOOKUP($B247,Seqs!$A:$B,2,0),AQ247,1),"")</f>
        <v/>
      </c>
      <c r="AQ247" s="3">
        <v>2250</v>
      </c>
      <c r="AR247" s="3" t="str">
        <f>IFERROR(MID(VLOOKUP($B247,Seqs!$A:$B,2,0),AS247,1),"")</f>
        <v/>
      </c>
      <c r="AS247" s="3">
        <v>2255</v>
      </c>
      <c r="AT247" s="3" t="str">
        <f>IFERROR(MID(VLOOKUP($B247,Seqs!$A:$B,2,0),AU247,1),"")</f>
        <v/>
      </c>
      <c r="AU247" s="3">
        <v>2276</v>
      </c>
      <c r="AV247" s="3" t="str">
        <f>IFERROR(MID(VLOOKUP($B247,Seqs!$A:$B,2,0),AW247,1),"")</f>
        <v/>
      </c>
      <c r="AW247" s="3" t="s">
        <v>23</v>
      </c>
      <c r="AX247" s="3" t="str">
        <f>IFERROR(MID(VLOOKUP($B247,Seqs!$A:$B,2,0),AY247,1),"")</f>
        <v/>
      </c>
      <c r="AY247" s="3" t="s">
        <v>23</v>
      </c>
      <c r="AZ247" s="77" t="str">
        <f>VLOOKUP(B247,Classification!A:D,2,0)</f>
        <v>A</v>
      </c>
      <c r="BA247" s="94" t="str">
        <f>VLOOKUP(B247,Classification!A:D,4,0)</f>
        <v>Freefattyacid</v>
      </c>
      <c r="BB247" s="27" t="b">
        <f t="shared" si="1232"/>
        <v>1</v>
      </c>
      <c r="BC247" s="23">
        <f t="shared" si="2012"/>
        <v>233</v>
      </c>
      <c r="BD247" s="16" t="s">
        <v>23</v>
      </c>
      <c r="BE247" s="3" t="s">
        <v>1424</v>
      </c>
      <c r="BF247" s="118">
        <v>2.33</v>
      </c>
      <c r="BG247" s="49" t="s">
        <v>1373</v>
      </c>
      <c r="BH247" s="49" t="s">
        <v>1373</v>
      </c>
      <c r="BI247" s="1"/>
      <c r="BJ247" s="70" t="s">
        <v>1283</v>
      </c>
      <c r="BK247" s="57" t="s">
        <v>1283</v>
      </c>
      <c r="BL247" s="57" t="s">
        <v>1283</v>
      </c>
      <c r="BM247" s="57" t="s">
        <v>1283</v>
      </c>
      <c r="BN247" s="57" t="s">
        <v>1283</v>
      </c>
      <c r="BO247" s="57" t="s">
        <v>1283</v>
      </c>
      <c r="BP247" s="57" t="s">
        <v>1283</v>
      </c>
      <c r="BQ247" s="57" t="s">
        <v>1283</v>
      </c>
      <c r="BR247" s="57" t="s">
        <v>1283</v>
      </c>
      <c r="BS247" s="57" t="s">
        <v>1283</v>
      </c>
      <c r="BT247" s="57" t="s">
        <v>1283</v>
      </c>
      <c r="BU247" s="57" t="s">
        <v>1283</v>
      </c>
      <c r="BV247" s="70">
        <f t="shared" si="2013"/>
        <v>4</v>
      </c>
      <c r="BW247" s="71" t="str">
        <f t="shared" si="2014"/>
        <v>-</v>
      </c>
      <c r="BX247" s="72">
        <f t="shared" si="2015"/>
        <v>39</v>
      </c>
      <c r="BY247" s="71">
        <f t="shared" si="2016"/>
        <v>71</v>
      </c>
      <c r="BZ247" s="72">
        <f t="shared" si="2017"/>
        <v>75</v>
      </c>
      <c r="CA247" s="71" t="str">
        <f t="shared" si="2018"/>
        <v>-</v>
      </c>
      <c r="CB247" s="72">
        <f t="shared" si="2019"/>
        <v>121</v>
      </c>
      <c r="CC247" s="71">
        <f t="shared" si="2020"/>
        <v>170</v>
      </c>
      <c r="CD247" s="72">
        <f t="shared" si="2021"/>
        <v>175</v>
      </c>
      <c r="CE247" s="71">
        <f t="shared" si="2022"/>
        <v>2214</v>
      </c>
      <c r="CF247" s="72">
        <f t="shared" si="2023"/>
        <v>2255</v>
      </c>
      <c r="CG247" s="71" t="str">
        <f t="shared" si="2024"/>
        <v>-</v>
      </c>
      <c r="CH247" s="70">
        <f t="shared" si="2025"/>
        <v>37</v>
      </c>
      <c r="CI247" s="71" t="str">
        <f t="shared" si="2026"/>
        <v>-</v>
      </c>
      <c r="CJ247" s="72">
        <f t="shared" si="2027"/>
        <v>69</v>
      </c>
      <c r="CK247" s="72">
        <f t="shared" si="2028"/>
        <v>74</v>
      </c>
      <c r="CL247" s="72">
        <f t="shared" si="2029"/>
        <v>110</v>
      </c>
      <c r="CM247" s="72" t="str">
        <f t="shared" si="2030"/>
        <v>-</v>
      </c>
      <c r="CN247" s="72">
        <f t="shared" si="2031"/>
        <v>146</v>
      </c>
      <c r="CO247" s="72">
        <f t="shared" si="2032"/>
        <v>172</v>
      </c>
      <c r="CP247" s="72">
        <f t="shared" si="2033"/>
        <v>211</v>
      </c>
      <c r="CQ247" s="72">
        <f t="shared" si="2034"/>
        <v>2250</v>
      </c>
      <c r="CR247" s="72">
        <f t="shared" si="2035"/>
        <v>2276</v>
      </c>
      <c r="CS247" s="72" t="str">
        <f t="shared" si="2036"/>
        <v>-</v>
      </c>
      <c r="CT247" s="23" t="e">
        <f t="shared" si="2037"/>
        <v>#VALUE!</v>
      </c>
    </row>
    <row r="248" spans="1:1029" x14ac:dyDescent="0.2">
      <c r="A248" s="3" t="str">
        <f>CONCATENATE(B248,"_",C248)</f>
        <v>ffar1_human_5KW2</v>
      </c>
      <c r="B248" s="3" t="s">
        <v>1168</v>
      </c>
      <c r="C248" s="3" t="s">
        <v>1487</v>
      </c>
      <c r="D248" s="3" t="str">
        <f>IFERROR(MID(VLOOKUP($B248,Seqs!$A:$B,2,0),E248,1),"")</f>
        <v>P</v>
      </c>
      <c r="E248" s="3">
        <v>4</v>
      </c>
      <c r="F248" s="3" t="str">
        <f>IFERROR(MID(VLOOKUP($B248,Seqs!$A:$B,2,0),G248,1),"")</f>
        <v>A</v>
      </c>
      <c r="G248" s="3">
        <v>32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T</v>
      </c>
      <c r="M248" s="3">
        <v>39</v>
      </c>
      <c r="N248" s="3" t="str">
        <f>IFERROR(MID(VLOOKUP($B248,Seqs!$A:$B,2,0),O248,1),"")</f>
        <v>S</v>
      </c>
      <c r="O248" s="3">
        <v>69</v>
      </c>
      <c r="P248" s="3" t="str">
        <f>IFERROR(MID(VLOOKUP($B248,Seqs!$A:$B,2,0),Q248,1),"")</f>
        <v>A</v>
      </c>
      <c r="Q248" s="3">
        <v>71</v>
      </c>
      <c r="R248" s="3" t="str">
        <f>IFERROR(MID(VLOOKUP($B248,Seqs!$A:$B,2,0),S248,1),"")</f>
        <v>L</v>
      </c>
      <c r="S248" s="3">
        <v>74</v>
      </c>
      <c r="T248" s="3" t="str">
        <f>IFERROR(MID(VLOOKUP($B248,Seqs!$A:$B,2,0),U248,1),"")</f>
        <v>P</v>
      </c>
      <c r="U248" s="3">
        <v>75</v>
      </c>
      <c r="V248" s="3" t="str">
        <f>IFERROR(MID(VLOOKUP($B248,Seqs!$A:$B,2,0),W248,1),"")</f>
        <v>F</v>
      </c>
      <c r="W248" s="3">
        <v>110</v>
      </c>
      <c r="X248" s="3" t="str">
        <f>IFERROR(MID(VLOOKUP($B248,Seqs!$A:$B,2,0),Y248,1),"")</f>
        <v>P</v>
      </c>
      <c r="Y248" s="3">
        <v>111</v>
      </c>
      <c r="Z248" s="3" t="str">
        <f>IFERROR(MID(VLOOKUP($B248,Seqs!$A:$B,2,0),AA248,1),"")</f>
        <v>R</v>
      </c>
      <c r="AA248" s="3">
        <v>118</v>
      </c>
      <c r="AB248" s="3" t="str">
        <f>IFERROR(MID(VLOOKUP($B248,Seqs!$A:$B,2,0),AC248,1),"")</f>
        <v>R</v>
      </c>
      <c r="AC248" s="3">
        <v>119</v>
      </c>
      <c r="AD248" s="3" t="str">
        <f>IFERROR(MID(VLOOKUP($B248,Seqs!$A:$B,2,0),AE248,1),"")</f>
        <v>E</v>
      </c>
      <c r="AE248" s="3">
        <v>145</v>
      </c>
      <c r="AF248" s="3" t="str">
        <f>IFERROR(MID(VLOOKUP($B248,Seqs!$A:$B,2,0),AG248,1),"")</f>
        <v>C</v>
      </c>
      <c r="AG248" s="3">
        <v>170</v>
      </c>
      <c r="AH248" s="3" t="str">
        <f>IFERROR(MID(VLOOKUP($B248,Seqs!$A:$B,2,0),AI248,1),"")</f>
        <v>E</v>
      </c>
      <c r="AI248" s="3">
        <v>172</v>
      </c>
      <c r="AJ248" s="3" t="str">
        <f>IFERROR(MID(VLOOKUP($B248,Seqs!$A:$B,2,0),AK248,1),"")</f>
        <v>G</v>
      </c>
      <c r="AK248" s="3">
        <v>180</v>
      </c>
      <c r="AL248" s="3" t="str">
        <f>IFERROR(MID(VLOOKUP($B248,Seqs!$A:$B,2,0),AM248,1),"")</f>
        <v>R</v>
      </c>
      <c r="AM248" s="3">
        <v>211</v>
      </c>
      <c r="AN248" s="3" t="str">
        <f>IFERROR(MID(VLOOKUP($B248,Seqs!$A:$B,2,0),AO248,1),"")</f>
        <v/>
      </c>
      <c r="AO248" s="3">
        <v>2215</v>
      </c>
      <c r="AP248" s="3" t="str">
        <f>IFERROR(MID(VLOOKUP($B248,Seqs!$A:$B,2,0),AQ248,1),"")</f>
        <v/>
      </c>
      <c r="AQ248" s="3">
        <v>2249</v>
      </c>
      <c r="AR248" s="3" t="str">
        <f>IFERROR(MID(VLOOKUP($B248,Seqs!$A:$B,2,0),AS248,1),"")</f>
        <v/>
      </c>
      <c r="AS248" s="3">
        <v>2254</v>
      </c>
      <c r="AT248" s="3" t="str">
        <f>IFERROR(MID(VLOOKUP($B248,Seqs!$A:$B,2,0),AU248,1),"")</f>
        <v/>
      </c>
      <c r="AU248" s="3">
        <v>2275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A</v>
      </c>
      <c r="BA248" s="94" t="str">
        <f>VLOOKUP(B248,Classification!A:D,4,0)</f>
        <v>Freefattyacid</v>
      </c>
      <c r="BB248" s="27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>_xlfn.AGGREGATE(9,6,CH248:CS248)-_xlfn.AGGREGATE(9,6,BV248:CG248)+12</f>
        <v>229</v>
      </c>
      <c r="BD248" s="16" t="s">
        <v>23</v>
      </c>
      <c r="BE248" s="3" t="s">
        <v>1424</v>
      </c>
      <c r="BF248" s="118">
        <v>2.76</v>
      </c>
      <c r="BG248" s="49" t="s">
        <v>1</v>
      </c>
      <c r="BH248" s="49" t="s">
        <v>1</v>
      </c>
      <c r="BI248" s="1"/>
      <c r="BJ248" s="70" t="s">
        <v>1283</v>
      </c>
      <c r="BK248" s="57" t="s">
        <v>1283</v>
      </c>
      <c r="BL248" s="57" t="s">
        <v>1283</v>
      </c>
      <c r="BM248" s="57" t="s">
        <v>1283</v>
      </c>
      <c r="BN248" s="57" t="s">
        <v>1283</v>
      </c>
      <c r="BO248" s="57" t="s">
        <v>1283</v>
      </c>
      <c r="BP248" s="57" t="s">
        <v>1283</v>
      </c>
      <c r="BQ248" s="57" t="s">
        <v>1283</v>
      </c>
      <c r="BR248" s="57" t="s">
        <v>1283</v>
      </c>
      <c r="BS248" s="57" t="s">
        <v>1283</v>
      </c>
      <c r="BT248" s="57" t="s">
        <v>1283</v>
      </c>
      <c r="BU248" s="57" t="s">
        <v>1283</v>
      </c>
      <c r="BV248" s="70">
        <f>E248</f>
        <v>4</v>
      </c>
      <c r="BW248" s="71" t="str">
        <f>I248</f>
        <v>-</v>
      </c>
      <c r="BX248" s="72">
        <f>M248</f>
        <v>39</v>
      </c>
      <c r="BY248" s="71">
        <f>Q248</f>
        <v>71</v>
      </c>
      <c r="BZ248" s="72">
        <f>U248</f>
        <v>75</v>
      </c>
      <c r="CA248" s="71">
        <f>Y248</f>
        <v>111</v>
      </c>
      <c r="CB248" s="72">
        <f>AC248</f>
        <v>119</v>
      </c>
      <c r="CC248" s="71">
        <f>AG248</f>
        <v>170</v>
      </c>
      <c r="CD248" s="72">
        <f>AK248</f>
        <v>180</v>
      </c>
      <c r="CE248" s="71">
        <f>AO248</f>
        <v>2215</v>
      </c>
      <c r="CF248" s="72">
        <f>AS248</f>
        <v>2254</v>
      </c>
      <c r="CG248" s="71" t="str">
        <f>AW248</f>
        <v>-</v>
      </c>
      <c r="CH248" s="70">
        <f>G248</f>
        <v>32</v>
      </c>
      <c r="CI248" s="71" t="str">
        <f>K248</f>
        <v>-</v>
      </c>
      <c r="CJ248" s="72">
        <f>O248</f>
        <v>69</v>
      </c>
      <c r="CK248" s="72">
        <f>S248</f>
        <v>74</v>
      </c>
      <c r="CL248" s="72">
        <f>W248</f>
        <v>110</v>
      </c>
      <c r="CM248" s="72">
        <f>AA248</f>
        <v>118</v>
      </c>
      <c r="CN248" s="72">
        <f>AE248</f>
        <v>145</v>
      </c>
      <c r="CO248" s="72">
        <f>AI248</f>
        <v>172</v>
      </c>
      <c r="CP248" s="72">
        <f>AM248</f>
        <v>211</v>
      </c>
      <c r="CQ248" s="72">
        <f>AQ248</f>
        <v>2249</v>
      </c>
      <c r="CR248" s="72">
        <f>AU248</f>
        <v>2275</v>
      </c>
      <c r="CS248" s="72" t="str">
        <f>AY248</f>
        <v>-</v>
      </c>
      <c r="CT248" s="23" t="e">
        <f>M248-K248</f>
        <v>#VALUE!</v>
      </c>
    </row>
    <row r="249" spans="1:1029" x14ac:dyDescent="0.2">
      <c r="A249" s="3" t="str">
        <f>CONCATENATE(B249,"_",C249)</f>
        <v>ffar1_human_5TZR</v>
      </c>
      <c r="B249" s="3" t="s">
        <v>1168</v>
      </c>
      <c r="C249" s="3" t="s">
        <v>1412</v>
      </c>
      <c r="D249" s="3" t="str">
        <f>IFERROR(MID(VLOOKUP($B249,Seqs!$A:$B,2,0),E249,1),"")</f>
        <v>P</v>
      </c>
      <c r="E249" s="3">
        <v>4</v>
      </c>
      <c r="F249" s="3" t="str">
        <f>IFERROR(MID(VLOOKUP($B249,Seqs!$A:$B,2,0),G249,1),"")</f>
        <v>R</v>
      </c>
      <c r="G249" s="3">
        <v>37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T</v>
      </c>
      <c r="M249" s="3">
        <v>39</v>
      </c>
      <c r="N249" s="3" t="str">
        <f>IFERROR(MID(VLOOKUP($B249,Seqs!$A:$B,2,0),O249,1),"")</f>
        <v>S</v>
      </c>
      <c r="O249" s="3">
        <v>69</v>
      </c>
      <c r="P249" s="3" t="str">
        <f>IFERROR(MID(VLOOKUP($B249,Seqs!$A:$B,2,0),Q249,1),"")</f>
        <v>A</v>
      </c>
      <c r="Q249" s="3">
        <v>71</v>
      </c>
      <c r="R249" s="3" t="str">
        <f>IFERROR(MID(VLOOKUP($B249,Seqs!$A:$B,2,0),S249,1),"")</f>
        <v>L</v>
      </c>
      <c r="S249" s="3">
        <v>74</v>
      </c>
      <c r="T249" s="3" t="str">
        <f>IFERROR(MID(VLOOKUP($B249,Seqs!$A:$B,2,0),U249,1),"")</f>
        <v>P</v>
      </c>
      <c r="U249" s="3">
        <v>75</v>
      </c>
      <c r="V249" s="3" t="str">
        <f>IFERROR(MID(VLOOKUP($B249,Seqs!$A:$B,2,0),W249,1),"")</f>
        <v>F</v>
      </c>
      <c r="W249" s="3">
        <v>110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C</v>
      </c>
      <c r="AC249" s="3">
        <v>121</v>
      </c>
      <c r="AD249" s="3" t="str">
        <f>IFERROR(MID(VLOOKUP($B249,Seqs!$A:$B,2,0),AE249,1),"")</f>
        <v>A</v>
      </c>
      <c r="AE249" s="3">
        <v>146</v>
      </c>
      <c r="AF249" s="3" t="str">
        <f>IFERROR(MID(VLOOKUP($B249,Seqs!$A:$B,2,0),AG249,1),"")</f>
        <v>C</v>
      </c>
      <c r="AG249" s="3">
        <v>170</v>
      </c>
      <c r="AH249" s="3" t="str">
        <f>IFERROR(MID(VLOOKUP($B249,Seqs!$A:$B,2,0),AI249,1),"")</f>
        <v>E</v>
      </c>
      <c r="AI249" s="3">
        <v>172</v>
      </c>
      <c r="AJ249" s="3" t="str">
        <f>IFERROR(MID(VLOOKUP($B249,Seqs!$A:$B,2,0),AK249,1),"")</f>
        <v>D</v>
      </c>
      <c r="AK249" s="3">
        <v>175</v>
      </c>
      <c r="AL249" s="3" t="str">
        <f>IFERROR(MID(VLOOKUP($B249,Seqs!$A:$B,2,0),AM249,1),"")</f>
        <v>R</v>
      </c>
      <c r="AM249" s="3">
        <v>211</v>
      </c>
      <c r="AN249" s="3" t="str">
        <f>IFERROR(MID(VLOOKUP($B249,Seqs!$A:$B,2,0),AO249,1),"")</f>
        <v/>
      </c>
      <c r="AO249" s="3">
        <v>2214</v>
      </c>
      <c r="AP249" s="3" t="str">
        <f>IFERROR(MID(VLOOKUP($B249,Seqs!$A:$B,2,0),AQ249,1),"")</f>
        <v/>
      </c>
      <c r="AQ249" s="3">
        <v>2250</v>
      </c>
      <c r="AR249" s="3" t="str">
        <f>IFERROR(MID(VLOOKUP($B249,Seqs!$A:$B,2,0),AS249,1),"")</f>
        <v/>
      </c>
      <c r="AS249" s="3">
        <v>2255</v>
      </c>
      <c r="AT249" s="3" t="str">
        <f>IFERROR(MID(VLOOKUP($B249,Seqs!$A:$B,2,0),AU249,1),"")</f>
        <v/>
      </c>
      <c r="AU249" s="3">
        <v>2276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A</v>
      </c>
      <c r="BA249" s="94" t="str">
        <f>VLOOKUP(B249,Classification!A:D,4,0)</f>
        <v>Freefattyacid</v>
      </c>
      <c r="BB249" s="27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>_xlfn.AGGREGATE(9,6,CH249:CS249)-_xlfn.AGGREGATE(9,6,BV249:CG249)+12</f>
        <v>233</v>
      </c>
      <c r="BD249" s="16" t="s">
        <v>23</v>
      </c>
      <c r="BE249" s="3" t="s">
        <v>1424</v>
      </c>
      <c r="BF249" s="118">
        <v>2.2000000000000002</v>
      </c>
      <c r="BG249" s="49" t="s">
        <v>1</v>
      </c>
      <c r="BH249" s="49" t="s">
        <v>1</v>
      </c>
      <c r="BI249" s="1"/>
      <c r="BJ249" s="70" t="s">
        <v>1283</v>
      </c>
      <c r="BK249" s="57" t="s">
        <v>1283</v>
      </c>
      <c r="BL249" s="57" t="s">
        <v>1283</v>
      </c>
      <c r="BM249" s="57" t="s">
        <v>1283</v>
      </c>
      <c r="BN249" s="57" t="s">
        <v>1283</v>
      </c>
      <c r="BO249" s="57" t="s">
        <v>1283</v>
      </c>
      <c r="BP249" s="57" t="s">
        <v>1283</v>
      </c>
      <c r="BQ249" s="57" t="s">
        <v>1283</v>
      </c>
      <c r="BR249" s="57" t="s">
        <v>1283</v>
      </c>
      <c r="BS249" s="57" t="s">
        <v>1283</v>
      </c>
      <c r="BT249" s="57" t="s">
        <v>1283</v>
      </c>
      <c r="BU249" s="57" t="s">
        <v>1283</v>
      </c>
      <c r="BV249" s="70">
        <f>E249</f>
        <v>4</v>
      </c>
      <c r="BW249" s="71" t="str">
        <f>I249</f>
        <v>-</v>
      </c>
      <c r="BX249" s="72">
        <f>M249</f>
        <v>39</v>
      </c>
      <c r="BY249" s="71">
        <f>Q249</f>
        <v>71</v>
      </c>
      <c r="BZ249" s="72">
        <f>U249</f>
        <v>75</v>
      </c>
      <c r="CA249" s="71" t="str">
        <f>Y249</f>
        <v>-</v>
      </c>
      <c r="CB249" s="72">
        <f>AC249</f>
        <v>121</v>
      </c>
      <c r="CC249" s="71">
        <f>AG249</f>
        <v>170</v>
      </c>
      <c r="CD249" s="72">
        <f>AK249</f>
        <v>175</v>
      </c>
      <c r="CE249" s="71">
        <f>AO249</f>
        <v>2214</v>
      </c>
      <c r="CF249" s="72">
        <f>AS249</f>
        <v>2255</v>
      </c>
      <c r="CG249" s="71" t="str">
        <f>AW249</f>
        <v>-</v>
      </c>
      <c r="CH249" s="70">
        <f>G249</f>
        <v>37</v>
      </c>
      <c r="CI249" s="71" t="str">
        <f>K249</f>
        <v>-</v>
      </c>
      <c r="CJ249" s="72">
        <f>O249</f>
        <v>69</v>
      </c>
      <c r="CK249" s="72">
        <f>S249</f>
        <v>74</v>
      </c>
      <c r="CL249" s="72">
        <f>W249</f>
        <v>110</v>
      </c>
      <c r="CM249" s="72" t="str">
        <f>AA249</f>
        <v>-</v>
      </c>
      <c r="CN249" s="72">
        <f>AE249</f>
        <v>146</v>
      </c>
      <c r="CO249" s="72">
        <f>AI249</f>
        <v>172</v>
      </c>
      <c r="CP249" s="72">
        <f>AM249</f>
        <v>211</v>
      </c>
      <c r="CQ249" s="72">
        <f>AQ249</f>
        <v>2250</v>
      </c>
      <c r="CR249" s="72">
        <f>AU249</f>
        <v>2276</v>
      </c>
      <c r="CS249" s="72" t="str">
        <f>AY249</f>
        <v>-</v>
      </c>
      <c r="CT249" s="23" t="e">
        <f>M249-K249</f>
        <v>#VALUE!</v>
      </c>
    </row>
    <row r="250" spans="1:1029" x14ac:dyDescent="0.2">
      <c r="A250" s="3" t="str">
        <f>CONCATENATE(B250,"_",C250)</f>
        <v>ffar1_human_5TZY</v>
      </c>
      <c r="B250" s="3" t="s">
        <v>1168</v>
      </c>
      <c r="C250" s="3" t="s">
        <v>1413</v>
      </c>
      <c r="D250" s="3" t="str">
        <f>IFERROR(MID(VLOOKUP($B250,Seqs!$A:$B,2,0),E250,1),"")</f>
        <v>P</v>
      </c>
      <c r="E250" s="3">
        <v>4</v>
      </c>
      <c r="F250" s="3" t="str">
        <f>IFERROR(MID(VLOOKUP($B250,Seqs!$A:$B,2,0),G250,1),"")</f>
        <v>R</v>
      </c>
      <c r="G250" s="3">
        <v>37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T</v>
      </c>
      <c r="M250" s="3">
        <v>39</v>
      </c>
      <c r="N250" s="3" t="str">
        <f>IFERROR(MID(VLOOKUP($B250,Seqs!$A:$B,2,0),O250,1),"")</f>
        <v>A</v>
      </c>
      <c r="O250" s="3">
        <v>68</v>
      </c>
      <c r="P250" s="3" t="str">
        <f>IFERROR(MID(VLOOKUP($B250,Seqs!$A:$B,2,0),Q250,1),"")</f>
        <v>A</v>
      </c>
      <c r="Q250" s="3">
        <v>71</v>
      </c>
      <c r="R250" s="3" t="str">
        <f>IFERROR(MID(VLOOKUP($B250,Seqs!$A:$B,2,0),S250,1),"")</f>
        <v>L</v>
      </c>
      <c r="S250" s="3">
        <v>74</v>
      </c>
      <c r="T250" s="3" t="str">
        <f>IFERROR(MID(VLOOKUP($B250,Seqs!$A:$B,2,0),U250,1),"")</f>
        <v>P</v>
      </c>
      <c r="U250" s="3">
        <v>75</v>
      </c>
      <c r="V250" s="3" t="str">
        <f>IFERROR(MID(VLOOKUP($B250,Seqs!$A:$B,2,0),W250,1),"")</f>
        <v>F</v>
      </c>
      <c r="W250" s="3">
        <v>110</v>
      </c>
      <c r="X250" s="3" t="str">
        <f>IFERROR(MID(VLOOKUP($B250,Seqs!$A:$B,2,0),Y250,1),"")</f>
        <v>P</v>
      </c>
      <c r="Y250" s="3">
        <v>111</v>
      </c>
      <c r="Z250" s="3" t="str">
        <f>IFERROR(MID(VLOOKUP($B250,Seqs!$A:$B,2,0),AA250,1),"")</f>
        <v>R</v>
      </c>
      <c r="AA250" s="3">
        <v>118</v>
      </c>
      <c r="AB250" s="3" t="str">
        <f>IFERROR(MID(VLOOKUP($B250,Seqs!$A:$B,2,0),AC250,1),"")</f>
        <v>R</v>
      </c>
      <c r="AC250" s="3">
        <v>119</v>
      </c>
      <c r="AD250" s="3" t="str">
        <f>IFERROR(MID(VLOOKUP($B250,Seqs!$A:$B,2,0),AE250,1),"")</f>
        <v>A</v>
      </c>
      <c r="AE250" s="3">
        <v>146</v>
      </c>
      <c r="AF250" s="3" t="str">
        <f>IFERROR(MID(VLOOKUP($B250,Seqs!$A:$B,2,0),AG250,1),"")</f>
        <v>C</v>
      </c>
      <c r="AG250" s="3">
        <v>170</v>
      </c>
      <c r="AH250" s="3" t="str">
        <f>IFERROR(MID(VLOOKUP($B250,Seqs!$A:$B,2,0),AI250,1),"")</f>
        <v>E</v>
      </c>
      <c r="AI250" s="3">
        <v>172</v>
      </c>
      <c r="AJ250" s="3" t="str">
        <f>IFERROR(MID(VLOOKUP($B250,Seqs!$A:$B,2,0),AK250,1),"")</f>
        <v>D</v>
      </c>
      <c r="AK250" s="3">
        <v>175</v>
      </c>
      <c r="AL250" s="3" t="str">
        <f>IFERROR(MID(VLOOKUP($B250,Seqs!$A:$B,2,0),AM250,1),"")</f>
        <v>R</v>
      </c>
      <c r="AM250" s="3">
        <v>211</v>
      </c>
      <c r="AN250" s="3" t="str">
        <f>IFERROR(MID(VLOOKUP($B250,Seqs!$A:$B,2,0),AO250,1),"")</f>
        <v/>
      </c>
      <c r="AO250" s="3">
        <v>2215</v>
      </c>
      <c r="AP250" s="3" t="str">
        <f>IFERROR(MID(VLOOKUP($B250,Seqs!$A:$B,2,0),AQ250,1),"")</f>
        <v/>
      </c>
      <c r="AQ250" s="3">
        <v>2250</v>
      </c>
      <c r="AR250" s="3" t="str">
        <f>IFERROR(MID(VLOOKUP($B250,Seqs!$A:$B,2,0),AS250,1),"")</f>
        <v/>
      </c>
      <c r="AS250" s="3">
        <v>2254</v>
      </c>
      <c r="AT250" s="3" t="str">
        <f>IFERROR(MID(VLOOKUP($B250,Seqs!$A:$B,2,0),AU250,1),"")</f>
        <v/>
      </c>
      <c r="AU250" s="3">
        <v>2277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A</v>
      </c>
      <c r="BA250" s="94" t="str">
        <f>VLOOKUP(B250,Classification!A:D,4,0)</f>
        <v>Freefattyacid</v>
      </c>
      <c r="BB250" s="27" t="b">
        <f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>_xlfn.AGGREGATE(9,6,CH250:CS250)-_xlfn.AGGREGATE(9,6,BV250:CG250)+12</f>
        <v>242</v>
      </c>
      <c r="BD250" s="16" t="s">
        <v>1425</v>
      </c>
      <c r="BE250" s="3" t="s">
        <v>1424</v>
      </c>
      <c r="BF250" s="118">
        <v>3.22</v>
      </c>
      <c r="BG250" s="49" t="s">
        <v>1</v>
      </c>
      <c r="BH250" s="49" t="s">
        <v>1</v>
      </c>
      <c r="BI250" s="1"/>
      <c r="BJ250" s="70" t="s">
        <v>1283</v>
      </c>
      <c r="BK250" s="57" t="s">
        <v>1283</v>
      </c>
      <c r="BL250" s="57" t="s">
        <v>1283</v>
      </c>
      <c r="BM250" s="57" t="s">
        <v>1283</v>
      </c>
      <c r="BN250" s="57" t="s">
        <v>1283</v>
      </c>
      <c r="BO250" s="57" t="s">
        <v>1283</v>
      </c>
      <c r="BP250" s="57" t="s">
        <v>1283</v>
      </c>
      <c r="BQ250" s="57" t="s">
        <v>1283</v>
      </c>
      <c r="BR250" s="57" t="s">
        <v>1283</v>
      </c>
      <c r="BS250" s="57" t="s">
        <v>1283</v>
      </c>
      <c r="BT250" s="57" t="s">
        <v>1283</v>
      </c>
      <c r="BU250" s="57" t="s">
        <v>1283</v>
      </c>
      <c r="BV250" s="70">
        <f>E250</f>
        <v>4</v>
      </c>
      <c r="BW250" s="71" t="str">
        <f>I250</f>
        <v>-</v>
      </c>
      <c r="BX250" s="72">
        <f>M250</f>
        <v>39</v>
      </c>
      <c r="BY250" s="71">
        <f>Q250</f>
        <v>71</v>
      </c>
      <c r="BZ250" s="72">
        <f>U250</f>
        <v>75</v>
      </c>
      <c r="CA250" s="71">
        <f>Y250</f>
        <v>111</v>
      </c>
      <c r="CB250" s="72">
        <f>AC250</f>
        <v>119</v>
      </c>
      <c r="CC250" s="71">
        <f>AG250</f>
        <v>170</v>
      </c>
      <c r="CD250" s="72">
        <f>AK250</f>
        <v>175</v>
      </c>
      <c r="CE250" s="71">
        <f>AO250</f>
        <v>2215</v>
      </c>
      <c r="CF250" s="72">
        <f>AS250</f>
        <v>2254</v>
      </c>
      <c r="CG250" s="71" t="str">
        <f>AW250</f>
        <v>-</v>
      </c>
      <c r="CH250" s="70">
        <f>G250</f>
        <v>37</v>
      </c>
      <c r="CI250" s="71" t="str">
        <f>K250</f>
        <v>-</v>
      </c>
      <c r="CJ250" s="72">
        <f>O250</f>
        <v>68</v>
      </c>
      <c r="CK250" s="72">
        <f>S250</f>
        <v>74</v>
      </c>
      <c r="CL250" s="72">
        <f>W250</f>
        <v>110</v>
      </c>
      <c r="CM250" s="72">
        <f>AA250</f>
        <v>118</v>
      </c>
      <c r="CN250" s="72">
        <f>AE250</f>
        <v>146</v>
      </c>
      <c r="CO250" s="72">
        <f>AI250</f>
        <v>172</v>
      </c>
      <c r="CP250" s="72">
        <f>AM250</f>
        <v>211</v>
      </c>
      <c r="CQ250" s="72">
        <f>AQ250</f>
        <v>2250</v>
      </c>
      <c r="CR250" s="72">
        <f>AU250</f>
        <v>2277</v>
      </c>
      <c r="CS250" s="72" t="str">
        <f>AY250</f>
        <v>-</v>
      </c>
      <c r="CT250" s="23" t="e">
        <f>M250-K250</f>
        <v>#VALUE!</v>
      </c>
    </row>
    <row r="251" spans="1:1029" x14ac:dyDescent="0.2">
      <c r="A251" s="3" t="str">
        <f t="shared" ref="A251:A252" si="2066">CONCATENATE(B251,"_",C251)</f>
        <v>fpr2_human__wt</v>
      </c>
      <c r="B251" s="3" t="s">
        <v>201</v>
      </c>
      <c r="C251" s="3" t="s">
        <v>100</v>
      </c>
      <c r="D251" s="3" t="str">
        <f>IFERROR(MID(VLOOKUP($B251,Seqs!$A:$B,2,0),E251,1),"")</f>
        <v>S</v>
      </c>
      <c r="E251" s="3">
        <v>19</v>
      </c>
      <c r="F251" s="3" t="str">
        <f>IFERROR(MID(VLOOKUP($B251,Seqs!$A:$B,2,0),G251,1),"")</f>
        <v>M</v>
      </c>
      <c r="G251" s="3">
        <v>55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T</v>
      </c>
      <c r="M251" s="3">
        <v>58</v>
      </c>
      <c r="N251" s="3" t="str">
        <f>IFERROR(MID(VLOOKUP($B251,Seqs!$A:$B,2,0),O251,1),"")</f>
        <v>G</v>
      </c>
      <c r="O251" s="3">
        <v>88</v>
      </c>
      <c r="P251" s="3" t="str">
        <f>IFERROR(MID(VLOOKUP($B251,Seqs!$A:$B,2,0),Q251,1),"")</f>
        <v>K</v>
      </c>
      <c r="Q251" s="3">
        <v>90</v>
      </c>
      <c r="R251" s="3" t="str">
        <f>IFERROR(MID(VLOOKUP($B251,Seqs!$A:$B,2,0),S251,1),"")</f>
        <v>F</v>
      </c>
      <c r="S251" s="3">
        <v>93</v>
      </c>
      <c r="T251" s="3" t="str">
        <f>IFERROR(MID(VLOOKUP($B251,Seqs!$A:$B,2,0),U251,1),"")</f>
        <v>G</v>
      </c>
      <c r="U251" s="3">
        <v>94</v>
      </c>
      <c r="V251" s="3" t="str">
        <f>IFERROR(MID(VLOOKUP($B251,Seqs!$A:$B,2,0),W251,1),"")</f>
        <v>H</v>
      </c>
      <c r="W251" s="3">
        <v>129</v>
      </c>
      <c r="X251" s="3" t="str">
        <f>IFERROR(MID(VLOOKUP($B251,Seqs!$A:$B,2,0),Y251,1),"")</f>
        <v>P</v>
      </c>
      <c r="Y251" s="3">
        <v>130</v>
      </c>
      <c r="Z251" s="3" t="str">
        <f>IFERROR(MID(VLOOKUP($B251,Seqs!$A:$B,2,0),AA251,1),"")</f>
        <v>R</v>
      </c>
      <c r="AA251" s="3">
        <v>137</v>
      </c>
      <c r="AB251" s="3" t="str">
        <f>IFERROR(MID(VLOOKUP($B251,Seqs!$A:$B,2,0),AC251,1),"")</f>
        <v>T</v>
      </c>
      <c r="AC251" s="3">
        <v>138</v>
      </c>
      <c r="AD251" s="3" t="str">
        <f>IFERROR(MID(VLOOKUP($B251,Seqs!$A:$B,2,0),AE251,1),"")</f>
        <v>L</v>
      </c>
      <c r="AE251" s="3">
        <v>164</v>
      </c>
      <c r="AF251" s="3" t="str">
        <f>IFERROR(MID(VLOOKUP($B251,Seqs!$A:$B,2,0),AG251,1),"")</f>
        <v>C</v>
      </c>
      <c r="AG251" s="3">
        <v>176</v>
      </c>
      <c r="AH251" s="3" t="str">
        <f>IFERROR(MID(VLOOKUP($B251,Seqs!$A:$B,2,0),AI251,1),"")</f>
        <v>F</v>
      </c>
      <c r="AI251" s="3">
        <v>178</v>
      </c>
      <c r="AJ251" s="3" t="str">
        <f>IFERROR(MID(VLOOKUP($B251,Seqs!$A:$B,2,0),AK251,1),"")</f>
        <v>T</v>
      </c>
      <c r="AK251" s="3">
        <v>186</v>
      </c>
      <c r="AL251" s="3" t="str">
        <f>IFERROR(MID(VLOOKUP($B251,Seqs!$A:$B,2,0),AM251,1),"")</f>
        <v>G</v>
      </c>
      <c r="AM251" s="3">
        <v>232</v>
      </c>
      <c r="AN251" s="3" t="str">
        <f>IFERROR(MID(VLOOKUP($B251,Seqs!$A:$B,2,0),AO251,1),"")</f>
        <v>S</v>
      </c>
      <c r="AO251" s="3">
        <v>237</v>
      </c>
      <c r="AP251" s="3" t="str">
        <f>IFERROR(MID(VLOOKUP($B251,Seqs!$A:$B,2,0),AQ251,1),"")</f>
        <v>W</v>
      </c>
      <c r="AQ251" s="3">
        <v>267</v>
      </c>
      <c r="AR251" s="3" t="str">
        <f>IFERROR(MID(VLOOKUP($B251,Seqs!$A:$B,2,0),AS251,1),"")</f>
        <v>Y</v>
      </c>
      <c r="AS251" s="3">
        <v>277</v>
      </c>
      <c r="AT251" s="3" t="str">
        <f>IFERROR(MID(VLOOKUP($B251,Seqs!$A:$B,2,0),AU251,1),"")</f>
        <v>V</v>
      </c>
      <c r="AU251" s="3">
        <v>305</v>
      </c>
      <c r="AV251" s="3" t="str">
        <f>IFERROR(MID(VLOOKUP($B251,Seqs!$A:$B,2,0),AW251,1),"")</f>
        <v>G</v>
      </c>
      <c r="AW251" s="3">
        <v>306</v>
      </c>
      <c r="AX251" s="3" t="str">
        <f>IFERROR(MID(VLOOKUP($B251,Seqs!$A:$B,2,0),AY251,1),"")</f>
        <v>L</v>
      </c>
      <c r="AY251" s="3">
        <v>317</v>
      </c>
      <c r="AZ251" s="77" t="str">
        <f>VLOOKUP(B251,Classification!A:D,2,0)</f>
        <v>A</v>
      </c>
      <c r="BA251" s="94" t="str">
        <f>VLOOKUP(B251,Classification!A:D,4,0)</f>
        <v>Formylpeptide</v>
      </c>
      <c r="BB251" s="27" t="b">
        <f t="shared" ref="BB251:BB252" si="2067"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23">
        <f t="shared" ref="BC251:BC252" si="2068">_xlfn.AGGREGATE(9,6,CH251:CS251)-_xlfn.AGGREGATE(9,6,BV251:CG251)+12</f>
        <v>266</v>
      </c>
      <c r="BD251" s="16" t="s">
        <v>23</v>
      </c>
      <c r="BE251" s="3" t="s">
        <v>23</v>
      </c>
      <c r="BF251" s="118" t="s">
        <v>23</v>
      </c>
      <c r="BG251" s="49" t="s">
        <v>23</v>
      </c>
      <c r="BH251" s="49" t="s">
        <v>23</v>
      </c>
      <c r="BI251" s="1"/>
      <c r="BJ251" s="70" t="s">
        <v>1283</v>
      </c>
      <c r="BK251" s="57" t="s">
        <v>1283</v>
      </c>
      <c r="BL251" s="57" t="s">
        <v>1283</v>
      </c>
      <c r="BM251" s="57" t="s">
        <v>1283</v>
      </c>
      <c r="BN251" s="57" t="s">
        <v>1283</v>
      </c>
      <c r="BO251" s="57" t="s">
        <v>1283</v>
      </c>
      <c r="BP251" s="57" t="s">
        <v>1283</v>
      </c>
      <c r="BQ251" s="57" t="s">
        <v>1283</v>
      </c>
      <c r="BR251" s="57" t="s">
        <v>1283</v>
      </c>
      <c r="BS251" s="57" t="s">
        <v>1283</v>
      </c>
      <c r="BT251" s="57" t="s">
        <v>1283</v>
      </c>
      <c r="BU251" s="57" t="s">
        <v>1283</v>
      </c>
      <c r="BV251" s="70">
        <f t="shared" ref="BV251:BV252" si="2069">E251</f>
        <v>19</v>
      </c>
      <c r="BW251" s="71" t="str">
        <f t="shared" ref="BW251:BW252" si="2070">I251</f>
        <v>-</v>
      </c>
      <c r="BX251" s="72">
        <f t="shared" ref="BX251:BX252" si="2071">M251</f>
        <v>58</v>
      </c>
      <c r="BY251" s="71">
        <f t="shared" ref="BY251:BY252" si="2072">Q251</f>
        <v>90</v>
      </c>
      <c r="BZ251" s="72">
        <f t="shared" ref="BZ251:BZ252" si="2073">U251</f>
        <v>94</v>
      </c>
      <c r="CA251" s="71">
        <f t="shared" ref="CA251:CA252" si="2074">Y251</f>
        <v>130</v>
      </c>
      <c r="CB251" s="72">
        <f t="shared" ref="CB251:CB252" si="2075">AC251</f>
        <v>138</v>
      </c>
      <c r="CC251" s="71">
        <f t="shared" ref="CC251:CC252" si="2076">AG251</f>
        <v>176</v>
      </c>
      <c r="CD251" s="72">
        <f t="shared" ref="CD251:CD252" si="2077">AK251</f>
        <v>186</v>
      </c>
      <c r="CE251" s="71">
        <f t="shared" ref="CE251:CE252" si="2078">AO251</f>
        <v>237</v>
      </c>
      <c r="CF251" s="72">
        <f t="shared" ref="CF251:CF252" si="2079">AS251</f>
        <v>277</v>
      </c>
      <c r="CG251" s="71">
        <f t="shared" ref="CG251:CG252" si="2080">AW251</f>
        <v>306</v>
      </c>
      <c r="CH251" s="70">
        <f t="shared" ref="CH251:CH252" si="2081">G251</f>
        <v>55</v>
      </c>
      <c r="CI251" s="71" t="str">
        <f t="shared" ref="CI251:CI252" si="2082">K251</f>
        <v>-</v>
      </c>
      <c r="CJ251" s="72">
        <f t="shared" ref="CJ251:CJ252" si="2083">O251</f>
        <v>88</v>
      </c>
      <c r="CK251" s="72">
        <f t="shared" ref="CK251:CK252" si="2084">S251</f>
        <v>93</v>
      </c>
      <c r="CL251" s="72">
        <f t="shared" ref="CL251:CL252" si="2085">W251</f>
        <v>129</v>
      </c>
      <c r="CM251" s="72">
        <f t="shared" ref="CM251:CM252" si="2086">AA251</f>
        <v>137</v>
      </c>
      <c r="CN251" s="72">
        <f t="shared" ref="CN251:CN252" si="2087">AE251</f>
        <v>164</v>
      </c>
      <c r="CO251" s="72">
        <f t="shared" ref="CO251:CO252" si="2088">AI251</f>
        <v>178</v>
      </c>
      <c r="CP251" s="72">
        <f t="shared" ref="CP251:CP252" si="2089">AM251</f>
        <v>232</v>
      </c>
      <c r="CQ251" s="72">
        <f t="shared" ref="CQ251:CQ252" si="2090">AQ251</f>
        <v>267</v>
      </c>
      <c r="CR251" s="72">
        <f t="shared" ref="CR251:CR252" si="2091">AU251</f>
        <v>305</v>
      </c>
      <c r="CS251" s="72">
        <f t="shared" ref="CS251:CS252" si="2092">AY251</f>
        <v>317</v>
      </c>
      <c r="CT251" s="23" t="e">
        <f t="shared" ref="CT251:CT252" si="2093">M251-K251</f>
        <v>#VALUE!</v>
      </c>
    </row>
    <row r="252" spans="1:1029" x14ac:dyDescent="0.2">
      <c r="A252" s="3" t="str">
        <f t="shared" si="2066"/>
        <v>fpr2_human_6LW5</v>
      </c>
      <c r="B252" s="3" t="s">
        <v>201</v>
      </c>
      <c r="C252" s="3" t="s">
        <v>1658</v>
      </c>
      <c r="D252" s="3" t="str">
        <f>IFERROR(MID(VLOOKUP($B252,Seqs!$A:$B,2,0),E252,1),"")</f>
        <v>S</v>
      </c>
      <c r="E252" s="3">
        <v>19</v>
      </c>
      <c r="F252" s="3" t="str">
        <f>IFERROR(MID(VLOOKUP($B252,Seqs!$A:$B,2,0),G252,1),"")</f>
        <v>M</v>
      </c>
      <c r="G252" s="3">
        <v>55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T</v>
      </c>
      <c r="M252" s="3">
        <v>58</v>
      </c>
      <c r="N252" s="3" t="str">
        <f>IFERROR(MID(VLOOKUP($B252,Seqs!$A:$B,2,0),O252,1),"")</f>
        <v>G</v>
      </c>
      <c r="O252" s="3">
        <v>88</v>
      </c>
      <c r="P252" s="3" t="str">
        <f>IFERROR(MID(VLOOKUP($B252,Seqs!$A:$B,2,0),Q252,1),"")</f>
        <v>K</v>
      </c>
      <c r="Q252" s="3">
        <v>90</v>
      </c>
      <c r="R252" s="3" t="str">
        <f>IFERROR(MID(VLOOKUP($B252,Seqs!$A:$B,2,0),S252,1),"")</f>
        <v>F</v>
      </c>
      <c r="S252" s="3">
        <v>93</v>
      </c>
      <c r="T252" s="3" t="str">
        <f>IFERROR(MID(VLOOKUP($B252,Seqs!$A:$B,2,0),U252,1),"")</f>
        <v>G</v>
      </c>
      <c r="U252" s="3">
        <v>94</v>
      </c>
      <c r="V252" s="3" t="str">
        <f>IFERROR(MID(VLOOKUP($B252,Seqs!$A:$B,2,0),W252,1),"")</f>
        <v>H</v>
      </c>
      <c r="W252" s="3">
        <v>129</v>
      </c>
      <c r="X252" s="3" t="str">
        <f>IFERROR(MID(VLOOKUP($B252,Seqs!$A:$B,2,0),Y252,1),"")</f>
        <v>P</v>
      </c>
      <c r="Y252" s="3">
        <v>130</v>
      </c>
      <c r="Z252" s="3" t="str">
        <f>IFERROR(MID(VLOOKUP($B252,Seqs!$A:$B,2,0),AA252,1),"")</f>
        <v>R</v>
      </c>
      <c r="AA252" s="3">
        <v>137</v>
      </c>
      <c r="AB252" s="3" t="str">
        <f>IFERROR(MID(VLOOKUP($B252,Seqs!$A:$B,2,0),AC252,1),"")</f>
        <v>T</v>
      </c>
      <c r="AC252" s="3">
        <v>138</v>
      </c>
      <c r="AD252" s="3" t="str">
        <f>IFERROR(MID(VLOOKUP($B252,Seqs!$A:$B,2,0),AE252,1),"")</f>
        <v>L</v>
      </c>
      <c r="AE252" s="3">
        <v>164</v>
      </c>
      <c r="AF252" s="3" t="str">
        <f>IFERROR(MID(VLOOKUP($B252,Seqs!$A:$B,2,0),AG252,1),"")</f>
        <v>C</v>
      </c>
      <c r="AG252" s="3">
        <v>176</v>
      </c>
      <c r="AH252" s="3" t="str">
        <f>IFERROR(MID(VLOOKUP($B252,Seqs!$A:$B,2,0),AI252,1),"")</f>
        <v>F</v>
      </c>
      <c r="AI252" s="3">
        <v>178</v>
      </c>
      <c r="AJ252" s="3" t="str">
        <f>IFERROR(MID(VLOOKUP($B252,Seqs!$A:$B,2,0),AK252,1),"")</f>
        <v>T</v>
      </c>
      <c r="AK252" s="3">
        <v>186</v>
      </c>
      <c r="AL252" s="3" t="str">
        <f>IFERROR(MID(VLOOKUP($B252,Seqs!$A:$B,2,0),AM252,1),"")</f>
        <v>K</v>
      </c>
      <c r="AM252" s="3">
        <v>231</v>
      </c>
      <c r="AN252" s="3" t="str">
        <f>IFERROR(MID(VLOOKUP($B252,Seqs!$A:$B,2,0),AO252,1),"")</f>
        <v>A</v>
      </c>
      <c r="AO252" s="3">
        <v>245</v>
      </c>
      <c r="AP252" s="3" t="str">
        <f>IFERROR(MID(VLOOKUP($B252,Seqs!$A:$B,2,0),AQ252,1),"")</f>
        <v>W</v>
      </c>
      <c r="AQ252" s="3">
        <v>267</v>
      </c>
      <c r="AR252" s="3" t="str">
        <f>IFERROR(MID(VLOOKUP($B252,Seqs!$A:$B,2,0),AS252,1),"")</f>
        <v>Y</v>
      </c>
      <c r="AS252" s="3">
        <v>277</v>
      </c>
      <c r="AT252" s="3" t="str">
        <f>IFERROR(MID(VLOOKUP($B252,Seqs!$A:$B,2,0),AU252,1),"")</f>
        <v>V</v>
      </c>
      <c r="AU252" s="3">
        <v>303</v>
      </c>
      <c r="AV252" s="3" t="str">
        <f>IFERROR(MID(VLOOKUP($B252,Seqs!$A:$B,2,0),AW252,1),"")</f>
        <v>Q</v>
      </c>
      <c r="AW252" s="3">
        <v>307</v>
      </c>
      <c r="AX252" s="3" t="str">
        <f>IFERROR(MID(VLOOKUP($B252,Seqs!$A:$B,2,0),AY252,1),"")</f>
        <v>L</v>
      </c>
      <c r="AY252" s="3">
        <v>317</v>
      </c>
      <c r="AZ252" s="77" t="str">
        <f>VLOOKUP(B252,Classification!A:D,2,0)</f>
        <v>A</v>
      </c>
      <c r="BA252" s="94" t="str">
        <f>VLOOKUP(B252,Classification!A:D,4,0)</f>
        <v>Formylpeptide</v>
      </c>
      <c r="BB252" s="27" t="b">
        <f t="shared" si="2067"/>
        <v>1</v>
      </c>
      <c r="BC252" s="23">
        <f t="shared" si="2068"/>
        <v>254</v>
      </c>
      <c r="BD252" s="16" t="s">
        <v>23</v>
      </c>
      <c r="BE252" s="3" t="s">
        <v>1287</v>
      </c>
      <c r="BF252" s="118">
        <v>2.8</v>
      </c>
      <c r="BG252" s="49" t="s">
        <v>1</v>
      </c>
      <c r="BH252" s="49" t="s">
        <v>1</v>
      </c>
      <c r="BI252" s="1"/>
      <c r="BJ252" s="70" t="s">
        <v>1283</v>
      </c>
      <c r="BK252" s="57" t="s">
        <v>1283</v>
      </c>
      <c r="BL252" s="57" t="s">
        <v>1283</v>
      </c>
      <c r="BM252" s="57" t="s">
        <v>1283</v>
      </c>
      <c r="BN252" s="57" t="s">
        <v>1283</v>
      </c>
      <c r="BO252" s="57" t="s">
        <v>1283</v>
      </c>
      <c r="BP252" s="57" t="s">
        <v>1283</v>
      </c>
      <c r="BQ252" s="57" t="s">
        <v>1283</v>
      </c>
      <c r="BR252" s="57" t="s">
        <v>1283</v>
      </c>
      <c r="BS252" s="57" t="s">
        <v>1283</v>
      </c>
      <c r="BT252" s="57" t="s">
        <v>1283</v>
      </c>
      <c r="BU252" s="57" t="s">
        <v>1283</v>
      </c>
      <c r="BV252" s="70">
        <f t="shared" si="2069"/>
        <v>19</v>
      </c>
      <c r="BW252" s="71" t="str">
        <f t="shared" si="2070"/>
        <v>-</v>
      </c>
      <c r="BX252" s="72">
        <f t="shared" si="2071"/>
        <v>58</v>
      </c>
      <c r="BY252" s="71">
        <f t="shared" si="2072"/>
        <v>90</v>
      </c>
      <c r="BZ252" s="72">
        <f t="shared" si="2073"/>
        <v>94</v>
      </c>
      <c r="CA252" s="71">
        <f t="shared" si="2074"/>
        <v>130</v>
      </c>
      <c r="CB252" s="72">
        <f t="shared" si="2075"/>
        <v>138</v>
      </c>
      <c r="CC252" s="71">
        <f t="shared" si="2076"/>
        <v>176</v>
      </c>
      <c r="CD252" s="72">
        <f t="shared" si="2077"/>
        <v>186</v>
      </c>
      <c r="CE252" s="71">
        <f t="shared" si="2078"/>
        <v>245</v>
      </c>
      <c r="CF252" s="72">
        <f t="shared" si="2079"/>
        <v>277</v>
      </c>
      <c r="CG252" s="71">
        <f t="shared" si="2080"/>
        <v>307</v>
      </c>
      <c r="CH252" s="70">
        <f t="shared" si="2081"/>
        <v>55</v>
      </c>
      <c r="CI252" s="71" t="str">
        <f t="shared" si="2082"/>
        <v>-</v>
      </c>
      <c r="CJ252" s="72">
        <f t="shared" si="2083"/>
        <v>88</v>
      </c>
      <c r="CK252" s="72">
        <f t="shared" si="2084"/>
        <v>93</v>
      </c>
      <c r="CL252" s="72">
        <f t="shared" si="2085"/>
        <v>129</v>
      </c>
      <c r="CM252" s="72">
        <f t="shared" si="2086"/>
        <v>137</v>
      </c>
      <c r="CN252" s="72">
        <f t="shared" si="2087"/>
        <v>164</v>
      </c>
      <c r="CO252" s="72">
        <f t="shared" si="2088"/>
        <v>178</v>
      </c>
      <c r="CP252" s="72">
        <f t="shared" si="2089"/>
        <v>231</v>
      </c>
      <c r="CQ252" s="72">
        <f t="shared" si="2090"/>
        <v>267</v>
      </c>
      <c r="CR252" s="72">
        <f t="shared" si="2091"/>
        <v>303</v>
      </c>
      <c r="CS252" s="72">
        <f t="shared" si="2092"/>
        <v>317</v>
      </c>
      <c r="CT252" s="23" t="e">
        <f t="shared" si="2093"/>
        <v>#VALUE!</v>
      </c>
    </row>
    <row r="253" spans="1:1029" x14ac:dyDescent="0.2">
      <c r="A253" s="3" t="str">
        <f t="shared" ref="A253" si="2094">CONCATENATE(B253,"_",C253)</f>
        <v>fpr2_human_6OMM</v>
      </c>
      <c r="B253" s="3" t="s">
        <v>201</v>
      </c>
      <c r="C253" s="3" t="s">
        <v>1659</v>
      </c>
      <c r="D253" s="3" t="str">
        <f>IFERROR(MID(VLOOKUP($B253,Seqs!$A:$B,2,0),E253,1),"")</f>
        <v>G</v>
      </c>
      <c r="E253" s="3">
        <v>21</v>
      </c>
      <c r="F253" s="3" t="str">
        <f>IFERROR(MID(VLOOKUP($B253,Seqs!$A:$B,2,0),G253,1),"")</f>
        <v>M</v>
      </c>
      <c r="G253" s="3">
        <v>55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T</v>
      </c>
      <c r="M253" s="3">
        <v>58</v>
      </c>
      <c r="N253" s="3" t="str">
        <f>IFERROR(MID(VLOOKUP($B253,Seqs!$A:$B,2,0),O253,1),"")</f>
        <v>G</v>
      </c>
      <c r="O253" s="3">
        <v>88</v>
      </c>
      <c r="P253" s="3" t="str">
        <f>IFERROR(MID(VLOOKUP($B253,Seqs!$A:$B,2,0),Q253,1),"")</f>
        <v>K</v>
      </c>
      <c r="Q253" s="3">
        <v>90</v>
      </c>
      <c r="R253" s="3" t="str">
        <f>IFERROR(MID(VLOOKUP($B253,Seqs!$A:$B,2,0),S253,1),"")</f>
        <v>F</v>
      </c>
      <c r="S253" s="3">
        <v>93</v>
      </c>
      <c r="T253" s="3" t="str">
        <f>IFERROR(MID(VLOOKUP($B253,Seqs!$A:$B,2,0),U253,1),"")</f>
        <v>G</v>
      </c>
      <c r="U253" s="3">
        <v>94</v>
      </c>
      <c r="V253" s="3" t="str">
        <f>IFERROR(MID(VLOOKUP($B253,Seqs!$A:$B,2,0),W253,1),"")</f>
        <v>H</v>
      </c>
      <c r="W253" s="3">
        <v>129</v>
      </c>
      <c r="X253" s="3" t="str">
        <f>IFERROR(MID(VLOOKUP($B253,Seqs!$A:$B,2,0),Y253,1),"")</f>
        <v>P</v>
      </c>
      <c r="Y253" s="3">
        <v>130</v>
      </c>
      <c r="Z253" s="3" t="str">
        <f>IFERROR(MID(VLOOKUP($B253,Seqs!$A:$B,2,0),AA253,1),"")</f>
        <v>R</v>
      </c>
      <c r="AA253" s="3">
        <v>137</v>
      </c>
      <c r="AB253" s="3" t="str">
        <f>IFERROR(MID(VLOOKUP($B253,Seqs!$A:$B,2,0),AC253,1),"")</f>
        <v>T</v>
      </c>
      <c r="AC253" s="3">
        <v>138</v>
      </c>
      <c r="AD253" s="3" t="str">
        <f>IFERROR(MID(VLOOKUP($B253,Seqs!$A:$B,2,0),AE253,1),"")</f>
        <v>L</v>
      </c>
      <c r="AE253" s="3">
        <v>164</v>
      </c>
      <c r="AF253" s="3" t="str">
        <f>IFERROR(MID(VLOOKUP($B253,Seqs!$A:$B,2,0),AG253,1),"")</f>
        <v>C</v>
      </c>
      <c r="AG253" s="3">
        <v>176</v>
      </c>
      <c r="AH253" s="3" t="str">
        <f>IFERROR(MID(VLOOKUP($B253,Seqs!$A:$B,2,0),AI253,1),"")</f>
        <v>F</v>
      </c>
      <c r="AI253" s="3">
        <v>178</v>
      </c>
      <c r="AJ253" s="3" t="str">
        <f>IFERROR(MID(VLOOKUP($B253,Seqs!$A:$B,2,0),AK253,1),"")</f>
        <v>T</v>
      </c>
      <c r="AK253" s="3">
        <v>186</v>
      </c>
      <c r="AL253" s="3" t="str">
        <f>IFERROR(MID(VLOOKUP($B253,Seqs!$A:$B,2,0),AM253,1),"")</f>
        <v>G</v>
      </c>
      <c r="AM253" s="3">
        <v>232</v>
      </c>
      <c r="AN253" s="3" t="str">
        <f>IFERROR(MID(VLOOKUP($B253,Seqs!$A:$B,2,0),AO253,1),"")</f>
        <v>S</v>
      </c>
      <c r="AO253" s="3">
        <v>237</v>
      </c>
      <c r="AP253" s="3" t="str">
        <f>IFERROR(MID(VLOOKUP($B253,Seqs!$A:$B,2,0),AQ253,1),"")</f>
        <v>W</v>
      </c>
      <c r="AQ253" s="3">
        <v>267</v>
      </c>
      <c r="AR253" s="3" t="str">
        <f>IFERROR(MID(VLOOKUP($B253,Seqs!$A:$B,2,0),AS253,1),"")</f>
        <v>K</v>
      </c>
      <c r="AS253" s="3">
        <v>278</v>
      </c>
      <c r="AT253" s="3" t="str">
        <f>IFERROR(MID(VLOOKUP($B253,Seqs!$A:$B,2,0),AU253,1),"")</f>
        <v>V</v>
      </c>
      <c r="AU253" s="3">
        <v>305</v>
      </c>
      <c r="AV253" s="3" t="str">
        <f>IFERROR(MID(VLOOKUP($B253,Seqs!$A:$B,2,0),AW253,1),"")</f>
        <v>G</v>
      </c>
      <c r="AW253" s="3">
        <v>306</v>
      </c>
      <c r="AX253" s="3" t="str">
        <f>IFERROR(MID(VLOOKUP($B253,Seqs!$A:$B,2,0),AY253,1),"")</f>
        <v>L</v>
      </c>
      <c r="AY253" s="3">
        <v>317</v>
      </c>
      <c r="AZ253" s="77" t="str">
        <f>VLOOKUP(B253,Classification!A:D,2,0)</f>
        <v>A</v>
      </c>
      <c r="BA253" s="94" t="str">
        <f>VLOOKUP(B253,Classification!A:D,4,0)</f>
        <v>Formylpeptide</v>
      </c>
      <c r="BB253" s="27" t="b">
        <f t="shared" ref="BB253" si="2095">AND(E253&lt;G253,OR(G253&lt;I253,I253="-"),OR(I253&lt;K253,I253="-"),OR(K253&lt;M253,K253="-"),M253&lt;O253,OR(O253&lt;Q253,Q253="-"),OR(Q253&lt;S253,Q253="-"),OR(S253&lt;U253,S253="-"),U253&lt;W253,OR(W253&lt;Y253,Y253="-"),OR(Y253&lt;AA253,Y253="-"),OR(AA253&lt;AC253,AA253="-"),AC253&lt;AE253,OR(AE253&lt;AG253,AG253="-"),OR(AG253&lt;AI253,AG253="-"),OR(AI253&lt;AK253,AI253="-"),AK253&lt;AM253,AM253&lt;AO253,AO253&lt;AQ253,AQ253&lt;AS253,AS253&lt;AU253,OR(AU253&lt;AW253,AW253="-"),OR(AW253&lt;AY253,AW253="-"))</f>
        <v>1</v>
      </c>
      <c r="BC253" s="23">
        <f t="shared" ref="BC253" si="2096">_xlfn.AGGREGATE(9,6,CH253:CS253)-_xlfn.AGGREGATE(9,6,BV253:CG253)+12</f>
        <v>263</v>
      </c>
      <c r="BD253" s="16" t="s">
        <v>1371</v>
      </c>
      <c r="BE253" s="3" t="s">
        <v>1287</v>
      </c>
      <c r="BF253" s="118">
        <v>3.17</v>
      </c>
      <c r="BG253" s="49" t="s">
        <v>1</v>
      </c>
      <c r="BH253" s="49" t="s">
        <v>1</v>
      </c>
      <c r="BI253" s="1"/>
      <c r="BJ253" s="70" t="s">
        <v>1283</v>
      </c>
      <c r="BK253" s="57" t="s">
        <v>1283</v>
      </c>
      <c r="BL253" s="57" t="s">
        <v>1283</v>
      </c>
      <c r="BM253" s="57" t="s">
        <v>1283</v>
      </c>
      <c r="BN253" s="57" t="s">
        <v>1283</v>
      </c>
      <c r="BO253" s="57" t="s">
        <v>1283</v>
      </c>
      <c r="BP253" s="57" t="s">
        <v>1283</v>
      </c>
      <c r="BQ253" s="57" t="s">
        <v>1283</v>
      </c>
      <c r="BR253" s="57" t="s">
        <v>1283</v>
      </c>
      <c r="BS253" s="57" t="s">
        <v>1283</v>
      </c>
      <c r="BT253" s="57" t="s">
        <v>1283</v>
      </c>
      <c r="BU253" s="57" t="s">
        <v>1283</v>
      </c>
      <c r="BV253" s="70">
        <f t="shared" ref="BV253" si="2097">E253</f>
        <v>21</v>
      </c>
      <c r="BW253" s="71" t="str">
        <f t="shared" ref="BW253" si="2098">I253</f>
        <v>-</v>
      </c>
      <c r="BX253" s="72">
        <f t="shared" ref="BX253" si="2099">M253</f>
        <v>58</v>
      </c>
      <c r="BY253" s="71">
        <f t="shared" ref="BY253" si="2100">Q253</f>
        <v>90</v>
      </c>
      <c r="BZ253" s="72">
        <f t="shared" ref="BZ253" si="2101">U253</f>
        <v>94</v>
      </c>
      <c r="CA253" s="71">
        <f t="shared" ref="CA253" si="2102">Y253</f>
        <v>130</v>
      </c>
      <c r="CB253" s="72">
        <f t="shared" ref="CB253" si="2103">AC253</f>
        <v>138</v>
      </c>
      <c r="CC253" s="71">
        <f t="shared" ref="CC253" si="2104">AG253</f>
        <v>176</v>
      </c>
      <c r="CD253" s="72">
        <f t="shared" ref="CD253" si="2105">AK253</f>
        <v>186</v>
      </c>
      <c r="CE253" s="71">
        <f t="shared" ref="CE253" si="2106">AO253</f>
        <v>237</v>
      </c>
      <c r="CF253" s="72">
        <f t="shared" ref="CF253" si="2107">AS253</f>
        <v>278</v>
      </c>
      <c r="CG253" s="71">
        <f t="shared" ref="CG253" si="2108">AW253</f>
        <v>306</v>
      </c>
      <c r="CH253" s="70">
        <f t="shared" ref="CH253" si="2109">G253</f>
        <v>55</v>
      </c>
      <c r="CI253" s="71" t="str">
        <f t="shared" ref="CI253" si="2110">K253</f>
        <v>-</v>
      </c>
      <c r="CJ253" s="72">
        <f t="shared" ref="CJ253" si="2111">O253</f>
        <v>88</v>
      </c>
      <c r="CK253" s="72">
        <f t="shared" ref="CK253" si="2112">S253</f>
        <v>93</v>
      </c>
      <c r="CL253" s="72">
        <f t="shared" ref="CL253" si="2113">W253</f>
        <v>129</v>
      </c>
      <c r="CM253" s="72">
        <f t="shared" ref="CM253" si="2114">AA253</f>
        <v>137</v>
      </c>
      <c r="CN253" s="72">
        <f t="shared" ref="CN253" si="2115">AE253</f>
        <v>164</v>
      </c>
      <c r="CO253" s="72">
        <f t="shared" ref="CO253" si="2116">AI253</f>
        <v>178</v>
      </c>
      <c r="CP253" s="72">
        <f t="shared" ref="CP253" si="2117">AM253</f>
        <v>232</v>
      </c>
      <c r="CQ253" s="72">
        <f t="shared" ref="CQ253" si="2118">AQ253</f>
        <v>267</v>
      </c>
      <c r="CR253" s="72">
        <f t="shared" ref="CR253" si="2119">AU253</f>
        <v>305</v>
      </c>
      <c r="CS253" s="72">
        <f t="shared" ref="CS253" si="2120">AY253</f>
        <v>317</v>
      </c>
      <c r="CT253" s="23" t="e">
        <f t="shared" ref="CT253" si="2121">M253-K253</f>
        <v>#VALUE!</v>
      </c>
    </row>
    <row r="254" spans="1:1029" s="12" customFormat="1" x14ac:dyDescent="0.2">
      <c r="A254" s="9" t="str">
        <f t="shared" ref="A254:A255" si="2122">CONCATENATE(B254,"_",C254)</f>
        <v>ghsr_human__wt</v>
      </c>
      <c r="B254" s="9" t="s">
        <v>208</v>
      </c>
      <c r="C254" s="9" t="s">
        <v>100</v>
      </c>
      <c r="D254" s="9" t="str">
        <f>IFERROR(MID(VLOOKUP($B254,Seqs!$A:$B,2,0),E254,1),"")</f>
        <v>P</v>
      </c>
      <c r="E254" s="9">
        <v>39</v>
      </c>
      <c r="F254" s="9" t="str">
        <f>IFERROR(MID(VLOOKUP($B254,Seqs!$A:$B,2,0),G254,1),"")</f>
        <v>F</v>
      </c>
      <c r="G254" s="9">
        <v>71</v>
      </c>
      <c r="H254" s="9" t="str">
        <f>IFERROR(MID(VLOOKUP($B254,Seqs!$A:$B,2,0),I254,1),"")</f>
        <v>R</v>
      </c>
      <c r="I254" s="109">
        <v>72</v>
      </c>
      <c r="J254" s="9" t="str">
        <f>IFERROR(MID(VLOOKUP($B254,Seqs!$A:$B,2,0),K254,1),"")</f>
        <v>R</v>
      </c>
      <c r="K254" s="109">
        <v>75</v>
      </c>
      <c r="L254" s="9" t="str">
        <f>IFERROR(MID(VLOOKUP($B254,Seqs!$A:$B,2,0),M254,1),"")</f>
        <v>T</v>
      </c>
      <c r="M254" s="9">
        <v>76</v>
      </c>
      <c r="N254" s="9" t="str">
        <f>IFERROR(MID(VLOOKUP($B254,Seqs!$A:$B,2,0),O254,1),"")</f>
        <v>Y</v>
      </c>
      <c r="O254" s="9">
        <v>106</v>
      </c>
      <c r="P254" s="9" t="str">
        <f>IFERROR(MID(VLOOKUP($B254,Seqs!$A:$B,2,0),Q254,1),"")</f>
        <v>P</v>
      </c>
      <c r="Q254" s="9">
        <v>108</v>
      </c>
      <c r="R254" s="9" t="str">
        <f>IFERROR(MID(VLOOKUP($B254,Seqs!$A:$B,2,0),S254,1),"")</f>
        <v>F</v>
      </c>
      <c r="S254" s="9">
        <v>111</v>
      </c>
      <c r="T254" s="9" t="str">
        <f>IFERROR(MID(VLOOKUP($B254,Seqs!$A:$B,2,0),U254,1),"")</f>
        <v>G</v>
      </c>
      <c r="U254" s="9">
        <v>112</v>
      </c>
      <c r="V254" s="9" t="str">
        <f>IFERROR(MID(VLOOKUP($B254,Seqs!$A:$B,2,0),W254,1),"")</f>
        <v>F</v>
      </c>
      <c r="W254" s="9">
        <v>147</v>
      </c>
      <c r="X254" s="9" t="str">
        <f>IFERROR(MID(VLOOKUP($B254,Seqs!$A:$B,2,0),Y254,1),"")</f>
        <v>P</v>
      </c>
      <c r="Y254" s="9">
        <v>148</v>
      </c>
      <c r="Z254" s="9" t="str">
        <f>IFERROR(MID(VLOOKUP($B254,Seqs!$A:$B,2,0),AA254,1),"")</f>
        <v>V</v>
      </c>
      <c r="AA254" s="9">
        <v>155</v>
      </c>
      <c r="AB254" s="9" t="str">
        <f>IFERROR(MID(VLOOKUP($B254,Seqs!$A:$B,2,0),AC254,1),"")</f>
        <v>T</v>
      </c>
      <c r="AC254" s="9">
        <v>156</v>
      </c>
      <c r="AD254" s="9" t="str">
        <f>IFERROR(MID(VLOOKUP($B254,Seqs!$A:$B,2,0),AE254,1),"")</f>
        <v>V</v>
      </c>
      <c r="AE254" s="9">
        <v>182</v>
      </c>
      <c r="AF254" s="9" t="str">
        <f>IFERROR(MID(VLOOKUP($B254,Seqs!$A:$B,2,0),AG254,1),"")</f>
        <v>C</v>
      </c>
      <c r="AG254" s="9">
        <v>198</v>
      </c>
      <c r="AH254" s="9" t="str">
        <f>IFERROR(MID(VLOOKUP($B254,Seqs!$A:$B,2,0),AI254,1),"")</f>
        <v>P</v>
      </c>
      <c r="AI254" s="9">
        <v>200</v>
      </c>
      <c r="AJ254" s="9" t="str">
        <f>IFERROR(MID(VLOOKUP($B254,Seqs!$A:$B,2,0),AK254,1),"")</f>
        <v>G</v>
      </c>
      <c r="AK254" s="9">
        <v>208</v>
      </c>
      <c r="AL254" s="9" t="str">
        <f>IFERROR(MID(VLOOKUP($B254,Seqs!$A:$B,2,0),AM254,1),"")</f>
        <v>D</v>
      </c>
      <c r="AM254" s="9">
        <v>246</v>
      </c>
      <c r="AN254" s="9" t="str">
        <f>IFERROR(MID(VLOOKUP($B254,Seqs!$A:$B,2,0),AO254,1),"")</f>
        <v>S</v>
      </c>
      <c r="AO254" s="9">
        <v>252</v>
      </c>
      <c r="AP254" s="9" t="str">
        <f>IFERROR(MID(VLOOKUP($B254,Seqs!$A:$B,2,0),AQ254,1),"")</f>
        <v>S</v>
      </c>
      <c r="AQ254" s="9">
        <v>289</v>
      </c>
      <c r="AR254" s="9" t="str">
        <f>IFERROR(MID(VLOOKUP($B254,Seqs!$A:$B,2,0),AS254,1),"")</f>
        <v>A</v>
      </c>
      <c r="AS254" s="9">
        <v>298</v>
      </c>
      <c r="AT254" s="9" t="str">
        <f>IFERROR(MID(VLOOKUP($B254,Seqs!$A:$B,2,0),AU254,1),"")</f>
        <v>M</v>
      </c>
      <c r="AU254" s="9">
        <v>326</v>
      </c>
      <c r="AV254" s="9" t="str">
        <f>IFERROR(MID(VLOOKUP($B254,Seqs!$A:$B,2,0),AW254,1),"")</f>
        <v>S</v>
      </c>
      <c r="AW254" s="9">
        <v>327</v>
      </c>
      <c r="AX254" s="9" t="str">
        <f>IFERROR(MID(VLOOKUP($B254,Seqs!$A:$B,2,0),AY254,1),"")</f>
        <v>P</v>
      </c>
      <c r="AY254" s="9">
        <v>342</v>
      </c>
      <c r="AZ254" s="110" t="str">
        <f>VLOOKUP(B254,Classification!A:D,2,0)</f>
        <v>A</v>
      </c>
      <c r="BA254" s="98" t="str">
        <f>VLOOKUP(B254,Classification!A:D,4,0)</f>
        <v>Ghrelin</v>
      </c>
      <c r="BB254" s="36" t="b">
        <f t="shared" ref="BB254:BB255" si="2123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109">
        <f t="shared" ref="BC254:BC255" si="2124">_xlfn.AGGREGATE(9,6,CH254:CS254)-_xlfn.AGGREGATE(9,6,BV254:CG254)+12</f>
        <v>268</v>
      </c>
      <c r="BD254" s="125" t="s">
        <v>23</v>
      </c>
      <c r="BE254" s="9" t="s">
        <v>23</v>
      </c>
      <c r="BF254" s="119" t="s">
        <v>23</v>
      </c>
      <c r="BG254" s="51" t="s">
        <v>23</v>
      </c>
      <c r="BH254" s="51" t="s">
        <v>23</v>
      </c>
      <c r="BJ254" s="111" t="s">
        <v>1283</v>
      </c>
      <c r="BK254" s="112" t="s">
        <v>1283</v>
      </c>
      <c r="BL254" s="112" t="s">
        <v>1283</v>
      </c>
      <c r="BM254" s="112" t="s">
        <v>1283</v>
      </c>
      <c r="BN254" s="112" t="s">
        <v>1283</v>
      </c>
      <c r="BO254" s="112" t="s">
        <v>1283</v>
      </c>
      <c r="BP254" s="112" t="s">
        <v>1283</v>
      </c>
      <c r="BQ254" s="112" t="s">
        <v>1283</v>
      </c>
      <c r="BR254" s="112" t="s">
        <v>1283</v>
      </c>
      <c r="BS254" s="112" t="s">
        <v>1283</v>
      </c>
      <c r="BT254" s="112" t="s">
        <v>1283</v>
      </c>
      <c r="BU254" s="112" t="s">
        <v>1283</v>
      </c>
      <c r="BV254" s="111">
        <f t="shared" ref="BV254:BV255" si="2125">E254</f>
        <v>39</v>
      </c>
      <c r="BW254" s="113">
        <f t="shared" ref="BW254:BW255" si="2126">I254</f>
        <v>72</v>
      </c>
      <c r="BX254" s="114">
        <f t="shared" ref="BX254:BX255" si="2127">M254</f>
        <v>76</v>
      </c>
      <c r="BY254" s="113">
        <f t="shared" ref="BY254:BY255" si="2128">Q254</f>
        <v>108</v>
      </c>
      <c r="BZ254" s="114">
        <f t="shared" ref="BZ254:BZ255" si="2129">U254</f>
        <v>112</v>
      </c>
      <c r="CA254" s="113">
        <f t="shared" ref="CA254:CA255" si="2130">Y254</f>
        <v>148</v>
      </c>
      <c r="CB254" s="114">
        <f t="shared" ref="CB254:CB255" si="2131">AC254</f>
        <v>156</v>
      </c>
      <c r="CC254" s="113">
        <f t="shared" ref="CC254:CC255" si="2132">AG254</f>
        <v>198</v>
      </c>
      <c r="CD254" s="114">
        <f t="shared" ref="CD254:CD255" si="2133">AK254</f>
        <v>208</v>
      </c>
      <c r="CE254" s="113">
        <f t="shared" ref="CE254:CE255" si="2134">AO254</f>
        <v>252</v>
      </c>
      <c r="CF254" s="114">
        <f t="shared" ref="CF254:CF255" si="2135">AS254</f>
        <v>298</v>
      </c>
      <c r="CG254" s="113">
        <f t="shared" ref="CG254:CG255" si="2136">AW254</f>
        <v>327</v>
      </c>
      <c r="CH254" s="111">
        <f t="shared" ref="CH254:CH255" si="2137">G254</f>
        <v>71</v>
      </c>
      <c r="CI254" s="113">
        <f t="shared" ref="CI254:CI255" si="2138">K254</f>
        <v>75</v>
      </c>
      <c r="CJ254" s="114">
        <f t="shared" ref="CJ254:CJ255" si="2139">O254</f>
        <v>106</v>
      </c>
      <c r="CK254" s="114">
        <f t="shared" ref="CK254:CK255" si="2140">S254</f>
        <v>111</v>
      </c>
      <c r="CL254" s="114">
        <f t="shared" ref="CL254:CL255" si="2141">W254</f>
        <v>147</v>
      </c>
      <c r="CM254" s="114">
        <f t="shared" ref="CM254:CM255" si="2142">AA254</f>
        <v>155</v>
      </c>
      <c r="CN254" s="114">
        <f t="shared" ref="CN254:CN255" si="2143">AE254</f>
        <v>182</v>
      </c>
      <c r="CO254" s="114">
        <f t="shared" ref="CO254:CO255" si="2144">AI254</f>
        <v>200</v>
      </c>
      <c r="CP254" s="114">
        <f t="shared" ref="CP254:CP255" si="2145">AM254</f>
        <v>246</v>
      </c>
      <c r="CQ254" s="114">
        <f t="shared" ref="CQ254:CQ255" si="2146">AQ254</f>
        <v>289</v>
      </c>
      <c r="CR254" s="114">
        <f t="shared" ref="CR254:CR255" si="2147">AU254</f>
        <v>326</v>
      </c>
      <c r="CS254" s="114">
        <f t="shared" ref="CS254:CS255" si="2148">AY254</f>
        <v>342</v>
      </c>
      <c r="CT254" s="109">
        <f t="shared" ref="CT254:CT255" si="2149">M254-K254</f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</row>
    <row r="255" spans="1:1029" s="12" customFormat="1" x14ac:dyDescent="0.2">
      <c r="A255" s="9" t="str">
        <f t="shared" si="2122"/>
        <v>ghsr_human_6KO5</v>
      </c>
      <c r="B255" s="9" t="s">
        <v>208</v>
      </c>
      <c r="C255" s="9" t="s">
        <v>1698</v>
      </c>
      <c r="D255" s="9" t="str">
        <f>IFERROR(MID(VLOOKUP($B255,Seqs!$A:$B,2,0),E255,1),"")</f>
        <v>P</v>
      </c>
      <c r="E255" s="9">
        <v>39</v>
      </c>
      <c r="F255" s="9" t="str">
        <f>IFERROR(MID(VLOOKUP($B255,Seqs!$A:$B,2,0),G255,1),"")</f>
        <v>R</v>
      </c>
      <c r="G255" s="9">
        <v>70</v>
      </c>
      <c r="H255" s="9" t="str">
        <f>IFERROR(MID(VLOOKUP($B255,Seqs!$A:$B,2,0),I255,1),"")</f>
        <v>R</v>
      </c>
      <c r="I255" s="109">
        <v>72</v>
      </c>
      <c r="J255" s="9" t="str">
        <f>IFERROR(MID(VLOOKUP($B255,Seqs!$A:$B,2,0),K255,1),"")</f>
        <v>R</v>
      </c>
      <c r="K255" s="109">
        <v>75</v>
      </c>
      <c r="L255" s="9" t="str">
        <f>IFERROR(MID(VLOOKUP($B255,Seqs!$A:$B,2,0),M255,1),"")</f>
        <v>T</v>
      </c>
      <c r="M255" s="9">
        <v>76</v>
      </c>
      <c r="N255" s="9" t="str">
        <f>IFERROR(MID(VLOOKUP($B255,Seqs!$A:$B,2,0),O255,1),"")</f>
        <v>Q</v>
      </c>
      <c r="O255" s="9">
        <v>105</v>
      </c>
      <c r="P255" s="9" t="str">
        <f>IFERROR(MID(VLOOKUP($B255,Seqs!$A:$B,2,0),Q255,1),"")</f>
        <v>P</v>
      </c>
      <c r="Q255" s="9">
        <v>108</v>
      </c>
      <c r="R255" s="9" t="str">
        <f>IFERROR(MID(VLOOKUP($B255,Seqs!$A:$B,2,0),S255,1),"")</f>
        <v>F</v>
      </c>
      <c r="S255" s="9">
        <v>111</v>
      </c>
      <c r="T255" s="9" t="str">
        <f>IFERROR(MID(VLOOKUP($B255,Seqs!$A:$B,2,0),U255,1),"")</f>
        <v>G</v>
      </c>
      <c r="U255" s="9">
        <v>112</v>
      </c>
      <c r="V255" s="9" t="str">
        <f>IFERROR(MID(VLOOKUP($B255,Seqs!$A:$B,2,0),W255,1),"")</f>
        <v>F</v>
      </c>
      <c r="W255" s="9">
        <v>147</v>
      </c>
      <c r="X255" s="9" t="str">
        <f>IFERROR(MID(VLOOKUP($B255,Seqs!$A:$B,2,0),Y255,1),"")</f>
        <v>P</v>
      </c>
      <c r="Y255" s="9">
        <v>148</v>
      </c>
      <c r="Z255" s="9" t="str">
        <f>IFERROR(MID(VLOOKUP($B255,Seqs!$A:$B,2,0),AA255,1),"")</f>
        <v>V</v>
      </c>
      <c r="AA255" s="9">
        <v>155</v>
      </c>
      <c r="AB255" s="9" t="str">
        <f>IFERROR(MID(VLOOKUP($B255,Seqs!$A:$B,2,0),AC255,1),"")</f>
        <v>T</v>
      </c>
      <c r="AC255" s="9">
        <v>156</v>
      </c>
      <c r="AD255" s="9" t="str">
        <f>IFERROR(MID(VLOOKUP($B255,Seqs!$A:$B,2,0),AE255,1),"")</f>
        <v>V</v>
      </c>
      <c r="AE255" s="9">
        <v>182</v>
      </c>
      <c r="AF255" s="9" t="str">
        <f>IFERROR(MID(VLOOKUP($B255,Seqs!$A:$B,2,0),AG255,1),"")</f>
        <v>C</v>
      </c>
      <c r="AG255" s="9">
        <v>198</v>
      </c>
      <c r="AH255" s="9" t="str">
        <f>IFERROR(MID(VLOOKUP($B255,Seqs!$A:$B,2,0),AI255,1),"")</f>
        <v>P</v>
      </c>
      <c r="AI255" s="9">
        <v>200</v>
      </c>
      <c r="AJ255" s="9" t="str">
        <f>IFERROR(MID(VLOOKUP($B255,Seqs!$A:$B,2,0),AK255,1),"")</f>
        <v>G</v>
      </c>
      <c r="AK255" s="9">
        <v>208</v>
      </c>
      <c r="AL255" s="9" t="str">
        <f>IFERROR(MID(VLOOKUP($B255,Seqs!$A:$B,2,0),AM255,1),"")</f>
        <v>W</v>
      </c>
      <c r="AM255" s="9">
        <v>240</v>
      </c>
      <c r="AN255" s="9" t="str">
        <f>IFERROR(MID(VLOOKUP($B255,Seqs!$A:$B,2,0),AO255,1),"")</f>
        <v>R</v>
      </c>
      <c r="AO255" s="9">
        <v>254</v>
      </c>
      <c r="AP255" s="9" t="str">
        <f>IFERROR(MID(VLOOKUP($B255,Seqs!$A:$B,2,0),AQ255,1),"")</f>
        <v>E</v>
      </c>
      <c r="AQ255" s="9">
        <v>291</v>
      </c>
      <c r="AR255" s="9" t="str">
        <f>IFERROR(MID(VLOOKUP($B255,Seqs!$A:$B,2,0),AS255,1),"")</f>
        <v>Q</v>
      </c>
      <c r="AS255" s="9">
        <v>302</v>
      </c>
      <c r="AT255" s="9" t="str">
        <f>IFERROR(MID(VLOOKUP($B255,Seqs!$A:$B,2,0),AU255,1),"")</f>
        <v>M</v>
      </c>
      <c r="AU255" s="9">
        <v>326</v>
      </c>
      <c r="AV255" s="9" t="str">
        <f>IFERROR(MID(VLOOKUP($B255,Seqs!$A:$B,2,0),AW255,1),"")</f>
        <v>S</v>
      </c>
      <c r="AW255" s="9">
        <v>327</v>
      </c>
      <c r="AX255" s="9" t="str">
        <f>IFERROR(MID(VLOOKUP($B255,Seqs!$A:$B,2,0),AY255,1),"")</f>
        <v>G</v>
      </c>
      <c r="AY255" s="9">
        <v>339</v>
      </c>
      <c r="AZ255" s="110" t="str">
        <f>VLOOKUP(B255,Classification!A:D,2,0)</f>
        <v>A</v>
      </c>
      <c r="BA255" s="98" t="str">
        <f>VLOOKUP(B255,Classification!A:D,4,0)</f>
        <v>Ghrelin</v>
      </c>
      <c r="BB255" s="36" t="b">
        <f t="shared" si="2123"/>
        <v>1</v>
      </c>
      <c r="BC255" s="109">
        <f t="shared" si="2124"/>
        <v>253</v>
      </c>
      <c r="BD255" s="125" t="s">
        <v>1372</v>
      </c>
      <c r="BE255" s="9" t="s">
        <v>1370</v>
      </c>
      <c r="BF255" s="119">
        <v>3.3</v>
      </c>
      <c r="BG255" s="51" t="s">
        <v>1</v>
      </c>
      <c r="BH255" s="51" t="s">
        <v>1</v>
      </c>
      <c r="BJ255" s="111" t="s">
        <v>1283</v>
      </c>
      <c r="BK255" s="112" t="s">
        <v>1283</v>
      </c>
      <c r="BL255" s="112" t="s">
        <v>1283</v>
      </c>
      <c r="BM255" s="112" t="s">
        <v>1283</v>
      </c>
      <c r="BN255" s="112" t="s">
        <v>1283</v>
      </c>
      <c r="BO255" s="112" t="s">
        <v>1283</v>
      </c>
      <c r="BP255" s="112" t="s">
        <v>1283</v>
      </c>
      <c r="BQ255" s="112" t="s">
        <v>1283</v>
      </c>
      <c r="BR255" s="112" t="s">
        <v>1283</v>
      </c>
      <c r="BS255" s="112" t="s">
        <v>1283</v>
      </c>
      <c r="BT255" s="112" t="s">
        <v>1283</v>
      </c>
      <c r="BU255" s="112" t="s">
        <v>1283</v>
      </c>
      <c r="BV255" s="111">
        <f t="shared" si="2125"/>
        <v>39</v>
      </c>
      <c r="BW255" s="113">
        <f t="shared" si="2126"/>
        <v>72</v>
      </c>
      <c r="BX255" s="114">
        <f t="shared" si="2127"/>
        <v>76</v>
      </c>
      <c r="BY255" s="113">
        <f t="shared" si="2128"/>
        <v>108</v>
      </c>
      <c r="BZ255" s="114">
        <f t="shared" si="2129"/>
        <v>112</v>
      </c>
      <c r="CA255" s="113">
        <f t="shared" si="2130"/>
        <v>148</v>
      </c>
      <c r="CB255" s="114">
        <f t="shared" si="2131"/>
        <v>156</v>
      </c>
      <c r="CC255" s="113">
        <f t="shared" si="2132"/>
        <v>198</v>
      </c>
      <c r="CD255" s="114">
        <f t="shared" si="2133"/>
        <v>208</v>
      </c>
      <c r="CE255" s="113">
        <f t="shared" si="2134"/>
        <v>254</v>
      </c>
      <c r="CF255" s="114">
        <f t="shared" si="2135"/>
        <v>302</v>
      </c>
      <c r="CG255" s="113">
        <f t="shared" si="2136"/>
        <v>327</v>
      </c>
      <c r="CH255" s="111">
        <f t="shared" si="2137"/>
        <v>70</v>
      </c>
      <c r="CI255" s="113">
        <f t="shared" si="2138"/>
        <v>75</v>
      </c>
      <c r="CJ255" s="114">
        <f t="shared" si="2139"/>
        <v>105</v>
      </c>
      <c r="CK255" s="114">
        <f t="shared" si="2140"/>
        <v>111</v>
      </c>
      <c r="CL255" s="114">
        <f t="shared" si="2141"/>
        <v>147</v>
      </c>
      <c r="CM255" s="114">
        <f t="shared" si="2142"/>
        <v>155</v>
      </c>
      <c r="CN255" s="114">
        <f t="shared" si="2143"/>
        <v>182</v>
      </c>
      <c r="CO255" s="114">
        <f t="shared" si="2144"/>
        <v>200</v>
      </c>
      <c r="CP255" s="114">
        <f t="shared" si="2145"/>
        <v>240</v>
      </c>
      <c r="CQ255" s="114">
        <f t="shared" si="2146"/>
        <v>291</v>
      </c>
      <c r="CR255" s="114">
        <f t="shared" si="2147"/>
        <v>326</v>
      </c>
      <c r="CS255" s="114">
        <f t="shared" si="2148"/>
        <v>339</v>
      </c>
      <c r="CT255" s="109">
        <f t="shared" si="2149"/>
        <v>1</v>
      </c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</row>
    <row r="256" spans="1:1029" x14ac:dyDescent="0.2">
      <c r="A256" s="3" t="str">
        <f t="shared" ref="A256" si="2150">CONCATENATE(B256,"_",C256)</f>
        <v>gpr52_human__wt</v>
      </c>
      <c r="B256" s="3" t="s">
        <v>259</v>
      </c>
      <c r="C256" s="3" t="s">
        <v>100</v>
      </c>
      <c r="D256" s="3" t="str">
        <f>IFERROR(MID(VLOOKUP($B256,Seqs!$A:$B,2,0),E256,1),"")</f>
        <v>C</v>
      </c>
      <c r="E256" s="3">
        <v>40</v>
      </c>
      <c r="F256" s="3" t="str">
        <f>IFERROR(MID(VLOOKUP($B256,Seqs!$A:$B,2,0),G256,1),"")</f>
        <v>A</v>
      </c>
      <c r="G256" s="3">
        <v>68</v>
      </c>
      <c r="H256" s="3" t="str">
        <f>IFERROR(MID(VLOOKUP($B256,Seqs!$A:$B,2,0),I256,1),"")</f>
        <v>P</v>
      </c>
      <c r="I256" s="23">
        <v>69</v>
      </c>
      <c r="J256" s="3" t="str">
        <f>IFERROR(MID(VLOOKUP($B256,Seqs!$A:$B,2,0),K256,1),"")</f>
        <v>H</v>
      </c>
      <c r="K256" s="23">
        <v>73</v>
      </c>
      <c r="L256" s="3" t="str">
        <f>IFERROR(MID(VLOOKUP($B256,Seqs!$A:$B,2,0),M256,1),"")</f>
        <v>Y</v>
      </c>
      <c r="M256" s="3">
        <v>74</v>
      </c>
      <c r="N256" s="3" t="str">
        <f>IFERROR(MID(VLOOKUP($B256,Seqs!$A:$B,2,0),O256,1),"")</f>
        <v>Y</v>
      </c>
      <c r="O256" s="3">
        <v>104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E</v>
      </c>
      <c r="U256" s="3">
        <v>110</v>
      </c>
      <c r="V256" s="3" t="str">
        <f>IFERROR(MID(VLOOKUP($B256,Seqs!$A:$B,2,0),W256,1),"")</f>
        <v>K</v>
      </c>
      <c r="W256" s="3">
        <v>145</v>
      </c>
      <c r="X256" s="3" t="str">
        <f>IFERROR(MID(VLOOKUP($B256,Seqs!$A:$B,2,0),Y256,1),"")</f>
        <v>P</v>
      </c>
      <c r="Y256" s="3">
        <v>146</v>
      </c>
      <c r="Z256" s="3" t="str">
        <f>IFERROR(MID(VLOOKUP($B256,Seqs!$A:$B,2,0),AA256,1),"")</f>
        <v>V</v>
      </c>
      <c r="AA256" s="3">
        <v>153</v>
      </c>
      <c r="AB256" s="3" t="str">
        <f>IFERROR(MID(VLOOKUP($B256,Seqs!$A:$B,2,0),AC256,1),"")</f>
        <v>T</v>
      </c>
      <c r="AC256" s="3">
        <v>154</v>
      </c>
      <c r="AD256" s="3" t="str">
        <f>IFERROR(MID(VLOOKUP($B256,Seqs!$A:$B,2,0),AE256,1),"")</f>
        <v>F</v>
      </c>
      <c r="AE256" s="3">
        <v>178</v>
      </c>
      <c r="AF256" s="3" t="str">
        <f>IFERROR(MID(VLOOKUP($B256,Seqs!$A:$B,2,0),AG256,1),"")</f>
        <v>C</v>
      </c>
      <c r="AG256" s="3">
        <v>193</v>
      </c>
      <c r="AH256" s="3" t="str">
        <f>IFERROR(MID(VLOOKUP($B256,Seqs!$A:$B,2,0),AI256,1),"")</f>
        <v>T</v>
      </c>
      <c r="AI256" s="3">
        <v>195</v>
      </c>
      <c r="AJ256" s="3" t="str">
        <f>IFERROR(MID(VLOOKUP($B256,Seqs!$A:$B,2,0),AK256,1),"")</f>
        <v>S</v>
      </c>
      <c r="AK256" s="3">
        <v>200</v>
      </c>
      <c r="AL256" s="3" t="str">
        <f>IFERROR(MID(VLOOKUP($B256,Seqs!$A:$B,2,0),AM256,1),"")</f>
        <v>N</v>
      </c>
      <c r="AM256" s="3">
        <v>238</v>
      </c>
      <c r="AN256" s="3" t="str">
        <f>IFERROR(MID(VLOOKUP($B256,Seqs!$A:$B,2,0),AO256,1),"")</f>
        <v>S</v>
      </c>
      <c r="AO256" s="3">
        <v>251</v>
      </c>
      <c r="AP256" s="3" t="str">
        <f>IFERROR(MID(VLOOKUP($B256,Seqs!$A:$B,2,0),AQ256,1),"")</f>
        <v>R</v>
      </c>
      <c r="AQ256" s="3">
        <v>291</v>
      </c>
      <c r="AR256" s="3" t="str">
        <f>IFERROR(MID(VLOOKUP($B256,Seqs!$A:$B,2,0),AS256,1),"")</f>
        <v>N</v>
      </c>
      <c r="AS256" s="3">
        <v>295</v>
      </c>
      <c r="AT256" s="3" t="str">
        <f>IFERROR(MID(VLOOKUP($B256,Seqs!$A:$B,2,0),AU256,1),"")</f>
        <v>S</v>
      </c>
      <c r="AU256" s="3">
        <v>320</v>
      </c>
      <c r="AV256" s="3" t="str">
        <f>IFERROR(MID(VLOOKUP($B256,Seqs!$A:$B,2,0),AW256,1),"")</f>
        <v>N</v>
      </c>
      <c r="AW256" s="3">
        <v>321</v>
      </c>
      <c r="AX256" s="3" t="str">
        <f>IFERROR(MID(VLOOKUP($B256,Seqs!$A:$B,2,0),AY256,1),"")</f>
        <v>C</v>
      </c>
      <c r="AY256" s="3">
        <v>341</v>
      </c>
      <c r="AZ256" s="77" t="str">
        <f>VLOOKUP(B256,Classification!A:D,2,0)</f>
        <v>A</v>
      </c>
      <c r="BA256" s="94" t="str">
        <f>VLOOKUP(B256,Classification!A:D,4,0)</f>
        <v>ClassAorphans</v>
      </c>
      <c r="BB256" s="27" t="b">
        <f t="shared" ref="BB256" si="2151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2152">_xlfn.AGGREGATE(9,6,CH256:CS256)-_xlfn.AGGREGATE(9,6,BV256:CG256)+12</f>
        <v>265</v>
      </c>
      <c r="BD256" s="16" t="s">
        <v>23</v>
      </c>
      <c r="BE256" s="3" t="s">
        <v>23</v>
      </c>
      <c r="BF256" s="118" t="s">
        <v>23</v>
      </c>
      <c r="BI256" s="1"/>
      <c r="BJ256" s="70" t="s">
        <v>1283</v>
      </c>
      <c r="BK256" s="57" t="s">
        <v>1283</v>
      </c>
      <c r="BL256" s="57" t="s">
        <v>1283</v>
      </c>
      <c r="BM256" s="57" t="s">
        <v>1283</v>
      </c>
      <c r="BN256" s="57" t="s">
        <v>1283</v>
      </c>
      <c r="BO256" s="57" t="s">
        <v>1283</v>
      </c>
      <c r="BP256" s="57" t="s">
        <v>1283</v>
      </c>
      <c r="BQ256" s="57" t="s">
        <v>1283</v>
      </c>
      <c r="BR256" s="57" t="s">
        <v>1283</v>
      </c>
      <c r="BS256" s="57" t="s">
        <v>1283</v>
      </c>
      <c r="BT256" s="57" t="s">
        <v>1283</v>
      </c>
      <c r="BU256" s="57" t="s">
        <v>1283</v>
      </c>
      <c r="BV256" s="70">
        <f t="shared" ref="BV256" si="2153">E256</f>
        <v>40</v>
      </c>
      <c r="BW256" s="71">
        <f t="shared" ref="BW256" si="2154">I256</f>
        <v>69</v>
      </c>
      <c r="BX256" s="72">
        <f t="shared" ref="BX256" si="2155">M256</f>
        <v>74</v>
      </c>
      <c r="BY256" s="71" t="str">
        <f t="shared" ref="BY256" si="2156">Q256</f>
        <v>-</v>
      </c>
      <c r="BZ256" s="72">
        <f t="shared" ref="BZ256" si="2157">U256</f>
        <v>110</v>
      </c>
      <c r="CA256" s="71">
        <f t="shared" ref="CA256" si="2158">Y256</f>
        <v>146</v>
      </c>
      <c r="CB256" s="72">
        <f t="shared" ref="CB256" si="2159">AC256</f>
        <v>154</v>
      </c>
      <c r="CC256" s="71">
        <f t="shared" ref="CC256" si="2160">AG256</f>
        <v>193</v>
      </c>
      <c r="CD256" s="72">
        <f t="shared" ref="CD256" si="2161">AK256</f>
        <v>200</v>
      </c>
      <c r="CE256" s="71">
        <f t="shared" ref="CE256" si="2162">AO256</f>
        <v>251</v>
      </c>
      <c r="CF256" s="72">
        <f t="shared" ref="CF256" si="2163">AS256</f>
        <v>295</v>
      </c>
      <c r="CG256" s="71">
        <f t="shared" ref="CG256" si="2164">AW256</f>
        <v>321</v>
      </c>
      <c r="CH256" s="70">
        <f t="shared" ref="CH256" si="2165">G256</f>
        <v>68</v>
      </c>
      <c r="CI256" s="71">
        <f t="shared" ref="CI256" si="2166">K256</f>
        <v>73</v>
      </c>
      <c r="CJ256" s="72">
        <f t="shared" ref="CJ256" si="2167">O256</f>
        <v>104</v>
      </c>
      <c r="CK256" s="72" t="str">
        <f t="shared" ref="CK256" si="2168">S256</f>
        <v>-</v>
      </c>
      <c r="CL256" s="72">
        <f t="shared" ref="CL256" si="2169">W256</f>
        <v>145</v>
      </c>
      <c r="CM256" s="72">
        <f t="shared" ref="CM256" si="2170">AA256</f>
        <v>153</v>
      </c>
      <c r="CN256" s="72">
        <f t="shared" ref="CN256" si="2171">AE256</f>
        <v>178</v>
      </c>
      <c r="CO256" s="72">
        <f t="shared" ref="CO256" si="2172">AI256</f>
        <v>195</v>
      </c>
      <c r="CP256" s="72">
        <f t="shared" ref="CP256" si="2173">AM256</f>
        <v>238</v>
      </c>
      <c r="CQ256" s="72">
        <f t="shared" ref="CQ256" si="2174">AQ256</f>
        <v>291</v>
      </c>
      <c r="CR256" s="72">
        <f t="shared" ref="CR256" si="2175">AU256</f>
        <v>320</v>
      </c>
      <c r="CS256" s="72">
        <f t="shared" ref="CS256" si="2176">AY256</f>
        <v>341</v>
      </c>
      <c r="CT256" s="23">
        <f t="shared" ref="CT256" si="2177">M256-K256</f>
        <v>1</v>
      </c>
    </row>
    <row r="257" spans="1:1029" x14ac:dyDescent="0.2">
      <c r="A257" s="3" t="str">
        <f t="shared" ref="A257" si="2178">CONCATENATE(B257,"_",C257)</f>
        <v>gpr52_human_6LI0</v>
      </c>
      <c r="B257" s="3" t="s">
        <v>259</v>
      </c>
      <c r="C257" s="3" t="s">
        <v>1663</v>
      </c>
      <c r="D257" s="3" t="str">
        <f>IFERROR(MID(VLOOKUP($B257,Seqs!$A:$B,2,0),E257,1),"")</f>
        <v>C</v>
      </c>
      <c r="E257" s="3">
        <v>40</v>
      </c>
      <c r="F257" s="3" t="str">
        <f>IFERROR(MID(VLOOKUP($B257,Seqs!$A:$B,2,0),G257,1),"")</f>
        <v>C</v>
      </c>
      <c r="G257" s="3">
        <v>67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H</v>
      </c>
      <c r="M257" s="3">
        <v>73</v>
      </c>
      <c r="N257" s="3" t="str">
        <f>IFERROR(MID(VLOOKUP($B257,Seqs!$A:$B,2,0),O257,1),"")</f>
        <v>Y</v>
      </c>
      <c r="O257" s="3">
        <v>104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E</v>
      </c>
      <c r="U257" s="3">
        <v>110</v>
      </c>
      <c r="V257" s="3" t="str">
        <f>IFERROR(MID(VLOOKUP($B257,Seqs!$A:$B,2,0),W257,1),"")</f>
        <v>K</v>
      </c>
      <c r="W257" s="3">
        <v>145</v>
      </c>
      <c r="X257" s="3" t="str">
        <f>IFERROR(MID(VLOOKUP($B257,Seqs!$A:$B,2,0),Y257,1),"")</f>
        <v>P</v>
      </c>
      <c r="Y257" s="3">
        <v>146</v>
      </c>
      <c r="Z257" s="3" t="str">
        <f>IFERROR(MID(VLOOKUP($B257,Seqs!$A:$B,2,0),AA257,1),"")</f>
        <v>V</v>
      </c>
      <c r="AA257" s="3">
        <v>153</v>
      </c>
      <c r="AB257" s="3" t="str">
        <f>IFERROR(MID(VLOOKUP($B257,Seqs!$A:$B,2,0),AC257,1),"")</f>
        <v>T</v>
      </c>
      <c r="AC257" s="3">
        <v>154</v>
      </c>
      <c r="AD257" s="3" t="str">
        <f>IFERROR(MID(VLOOKUP($B257,Seqs!$A:$B,2,0),AE257,1),"")</f>
        <v>F</v>
      </c>
      <c r="AE257" s="3">
        <v>178</v>
      </c>
      <c r="AF257" s="3" t="str">
        <f>IFERROR(MID(VLOOKUP($B257,Seqs!$A:$B,2,0),AG257,1),"")</f>
        <v>C</v>
      </c>
      <c r="AG257" s="3">
        <v>193</v>
      </c>
      <c r="AH257" s="3" t="str">
        <f>IFERROR(MID(VLOOKUP($B257,Seqs!$A:$B,2,0),AI257,1),"")</f>
        <v>T</v>
      </c>
      <c r="AI257" s="3">
        <v>195</v>
      </c>
      <c r="AJ257" s="3" t="str">
        <f>IFERROR(MID(VLOOKUP($B257,Seqs!$A:$B,2,0),AK257,1),"")</f>
        <v>S</v>
      </c>
      <c r="AK257" s="3">
        <v>200</v>
      </c>
      <c r="AL257" s="3" t="str">
        <f>IFERROR(MID(VLOOKUP($B257,Seqs!$A:$B,2,0),AM257,1),"")</f>
        <v>I</v>
      </c>
      <c r="AM257" s="3">
        <v>229</v>
      </c>
      <c r="AN257" s="3" t="str">
        <f>IFERROR(MID(VLOOKUP($B257,Seqs!$A:$B,2,0),AO257,1),"")</f>
        <v>R</v>
      </c>
      <c r="AO257" s="3">
        <v>261</v>
      </c>
      <c r="AP257" s="3" t="str">
        <f>IFERROR(MID(VLOOKUP($B257,Seqs!$A:$B,2,0),AQ257,1),"")</f>
        <v>R</v>
      </c>
      <c r="AQ257" s="3">
        <v>291</v>
      </c>
      <c r="AR257" s="3" t="str">
        <f>IFERROR(MID(VLOOKUP($B257,Seqs!$A:$B,2,0),AS257,1),"")</f>
        <v>N</v>
      </c>
      <c r="AS257" s="3">
        <v>295</v>
      </c>
      <c r="AT257" s="3" t="str">
        <f>IFERROR(MID(VLOOKUP($B257,Seqs!$A:$B,2,0),AU257,1),"")</f>
        <v>S</v>
      </c>
      <c r="AU257" s="3">
        <v>320</v>
      </c>
      <c r="AV257" s="3" t="str">
        <f>IFERROR(MID(VLOOKUP($B257,Seqs!$A:$B,2,0),AW257,1),"")</f>
        <v>N</v>
      </c>
      <c r="AW257" s="3">
        <v>321</v>
      </c>
      <c r="AX257" s="3" t="str">
        <f>IFERROR(MID(VLOOKUP($B257,Seqs!$A:$B,2,0),AY257,1),"")</f>
        <v>M</v>
      </c>
      <c r="AY257" s="3">
        <v>335</v>
      </c>
      <c r="AZ257" s="77" t="str">
        <f>VLOOKUP(B257,Classification!A:D,2,0)</f>
        <v>A</v>
      </c>
      <c r="BA257" s="94" t="str">
        <f>VLOOKUP(B257,Classification!A:D,4,0)</f>
        <v>ClassAorphans</v>
      </c>
      <c r="BB257" s="27" t="b">
        <f t="shared" ref="BB257" si="2179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2180">_xlfn.AGGREGATE(9,6,CH257:CS257)-_xlfn.AGGREGATE(9,6,BV257:CG257)+12</f>
        <v>236</v>
      </c>
      <c r="BD257" s="16" t="s">
        <v>23</v>
      </c>
      <c r="BE257" s="3" t="s">
        <v>1370</v>
      </c>
      <c r="BF257" s="118">
        <v>2.2000000000000002</v>
      </c>
      <c r="BG257" s="49" t="s">
        <v>1</v>
      </c>
      <c r="BH257" s="49" t="s">
        <v>1</v>
      </c>
      <c r="BI257" s="1"/>
      <c r="BJ257" s="70" t="s">
        <v>1283</v>
      </c>
      <c r="BK257" s="57" t="s">
        <v>1283</v>
      </c>
      <c r="BL257" s="57" t="s">
        <v>1283</v>
      </c>
      <c r="BM257" s="57" t="s">
        <v>1283</v>
      </c>
      <c r="BN257" s="57" t="s">
        <v>1283</v>
      </c>
      <c r="BO257" s="57" t="s">
        <v>1283</v>
      </c>
      <c r="BP257" s="57" t="s">
        <v>1283</v>
      </c>
      <c r="BQ257" s="57" t="s">
        <v>1283</v>
      </c>
      <c r="BR257" s="57" t="s">
        <v>1283</v>
      </c>
      <c r="BS257" s="57" t="s">
        <v>1283</v>
      </c>
      <c r="BT257" s="57" t="s">
        <v>1283</v>
      </c>
      <c r="BU257" s="57" t="s">
        <v>1283</v>
      </c>
      <c r="BV257" s="70">
        <f t="shared" ref="BV257" si="2181">E257</f>
        <v>40</v>
      </c>
      <c r="BW257" s="71" t="str">
        <f t="shared" ref="BW257" si="2182">I257</f>
        <v>-</v>
      </c>
      <c r="BX257" s="72">
        <f t="shared" ref="BX257" si="2183">M257</f>
        <v>73</v>
      </c>
      <c r="BY257" s="71" t="str">
        <f t="shared" ref="BY257" si="2184">Q257</f>
        <v>-</v>
      </c>
      <c r="BZ257" s="72">
        <f t="shared" ref="BZ257" si="2185">U257</f>
        <v>110</v>
      </c>
      <c r="CA257" s="71">
        <f t="shared" ref="CA257" si="2186">Y257</f>
        <v>146</v>
      </c>
      <c r="CB257" s="72">
        <f t="shared" ref="CB257" si="2187">AC257</f>
        <v>154</v>
      </c>
      <c r="CC257" s="71">
        <f t="shared" ref="CC257" si="2188">AG257</f>
        <v>193</v>
      </c>
      <c r="CD257" s="72">
        <f t="shared" ref="CD257" si="2189">AK257</f>
        <v>200</v>
      </c>
      <c r="CE257" s="71">
        <f t="shared" ref="CE257" si="2190">AO257</f>
        <v>261</v>
      </c>
      <c r="CF257" s="72">
        <f t="shared" ref="CF257" si="2191">AS257</f>
        <v>295</v>
      </c>
      <c r="CG257" s="71">
        <f t="shared" ref="CG257" si="2192">AW257</f>
        <v>321</v>
      </c>
      <c r="CH257" s="70">
        <f t="shared" ref="CH257" si="2193">G257</f>
        <v>67</v>
      </c>
      <c r="CI257" s="71" t="str">
        <f t="shared" ref="CI257" si="2194">K257</f>
        <v>-</v>
      </c>
      <c r="CJ257" s="72">
        <f t="shared" ref="CJ257" si="2195">O257</f>
        <v>104</v>
      </c>
      <c r="CK257" s="72" t="str">
        <f t="shared" ref="CK257" si="2196">S257</f>
        <v>-</v>
      </c>
      <c r="CL257" s="72">
        <f t="shared" ref="CL257" si="2197">W257</f>
        <v>145</v>
      </c>
      <c r="CM257" s="72">
        <f t="shared" ref="CM257" si="2198">AA257</f>
        <v>153</v>
      </c>
      <c r="CN257" s="72">
        <f t="shared" ref="CN257" si="2199">AE257</f>
        <v>178</v>
      </c>
      <c r="CO257" s="72">
        <f t="shared" ref="CO257" si="2200">AI257</f>
        <v>195</v>
      </c>
      <c r="CP257" s="72">
        <f t="shared" ref="CP257" si="2201">AM257</f>
        <v>229</v>
      </c>
      <c r="CQ257" s="72">
        <f t="shared" ref="CQ257" si="2202">AQ257</f>
        <v>291</v>
      </c>
      <c r="CR257" s="72">
        <f t="shared" ref="CR257" si="2203">AU257</f>
        <v>320</v>
      </c>
      <c r="CS257" s="72">
        <f t="shared" ref="CS257" si="2204">AY257</f>
        <v>335</v>
      </c>
      <c r="CT257" s="23" t="e">
        <f t="shared" ref="CT257" si="2205">M257-K257</f>
        <v>#VALUE!</v>
      </c>
    </row>
    <row r="258" spans="1:1029" x14ac:dyDescent="0.2">
      <c r="A258" s="3" t="str">
        <f t="shared" ref="A258" si="2206">CONCATENATE(B258,"_",C258)</f>
        <v>gpr52_human_6LI1</v>
      </c>
      <c r="B258" s="3" t="s">
        <v>259</v>
      </c>
      <c r="C258" s="3" t="s">
        <v>1665</v>
      </c>
      <c r="D258" s="3" t="str">
        <f>IFERROR(MID(VLOOKUP($B258,Seqs!$A:$B,2,0),E258,1),"")</f>
        <v>C</v>
      </c>
      <c r="E258" s="3">
        <v>40</v>
      </c>
      <c r="F258" s="3" t="str">
        <f>IFERROR(MID(VLOOKUP($B258,Seqs!$A:$B,2,0),G258,1),"")</f>
        <v>A</v>
      </c>
      <c r="G258" s="3">
        <v>68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H</v>
      </c>
      <c r="M258" s="3">
        <v>73</v>
      </c>
      <c r="N258" s="3" t="str">
        <f>IFERROR(MID(VLOOKUP($B258,Seqs!$A:$B,2,0),O258,1),"")</f>
        <v>H</v>
      </c>
      <c r="O258" s="3">
        <v>103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H</v>
      </c>
      <c r="U258" s="3">
        <v>109</v>
      </c>
      <c r="V258" s="3" t="str">
        <f>IFERROR(MID(VLOOKUP($B258,Seqs!$A:$B,2,0),W258,1),"")</f>
        <v>K</v>
      </c>
      <c r="W258" s="3">
        <v>145</v>
      </c>
      <c r="X258" s="3" t="str">
        <f>IFERROR(MID(VLOOKUP($B258,Seqs!$A:$B,2,0),Y258,1),"")</f>
        <v>P</v>
      </c>
      <c r="Y258" s="3">
        <v>146</v>
      </c>
      <c r="Z258" s="3" t="str">
        <f>IFERROR(MID(VLOOKUP($B258,Seqs!$A:$B,2,0),AA258,1),"")</f>
        <v>V</v>
      </c>
      <c r="AA258" s="3">
        <v>153</v>
      </c>
      <c r="AB258" s="3" t="str">
        <f>IFERROR(MID(VLOOKUP($B258,Seqs!$A:$B,2,0),AC258,1),"")</f>
        <v>T</v>
      </c>
      <c r="AC258" s="3">
        <v>154</v>
      </c>
      <c r="AD258" s="3" t="str">
        <f>IFERROR(MID(VLOOKUP($B258,Seqs!$A:$B,2,0),AE258,1),"")</f>
        <v>F</v>
      </c>
      <c r="AE258" s="3">
        <v>178</v>
      </c>
      <c r="AF258" s="3" t="str">
        <f>IFERROR(MID(VLOOKUP($B258,Seqs!$A:$B,2,0),AG258,1),"")</f>
        <v>C</v>
      </c>
      <c r="AG258" s="3">
        <v>193</v>
      </c>
      <c r="AH258" s="3" t="str">
        <f>IFERROR(MID(VLOOKUP($B258,Seqs!$A:$B,2,0),AI258,1),"")</f>
        <v>T</v>
      </c>
      <c r="AI258" s="3">
        <v>195</v>
      </c>
      <c r="AJ258" s="3" t="str">
        <f>IFERROR(MID(VLOOKUP($B258,Seqs!$A:$B,2,0),AK258,1),"")</f>
        <v>S</v>
      </c>
      <c r="AK258" s="3">
        <v>200</v>
      </c>
      <c r="AL258" s="3" t="str">
        <f>IFERROR(MID(VLOOKUP($B258,Seqs!$A:$B,2,0),AM258,1),"")</f>
        <v>Q</v>
      </c>
      <c r="AM258" s="3">
        <v>232</v>
      </c>
      <c r="AN258" s="3" t="str">
        <f>IFERROR(MID(VLOOKUP($B258,Seqs!$A:$B,2,0),AO258,1),"")</f>
        <v>R</v>
      </c>
      <c r="AO258" s="3">
        <v>261</v>
      </c>
      <c r="AP258" s="3" t="str">
        <f>IFERROR(MID(VLOOKUP($B258,Seqs!$A:$B,2,0),AQ258,1),"")</f>
        <v>S</v>
      </c>
      <c r="AQ258" s="3">
        <v>290</v>
      </c>
      <c r="AR258" s="3" t="str">
        <f>IFERROR(MID(VLOOKUP($B258,Seqs!$A:$B,2,0),AS258,1),"")</f>
        <v>N</v>
      </c>
      <c r="AS258" s="3">
        <v>295</v>
      </c>
      <c r="AT258" s="3" t="str">
        <f>IFERROR(MID(VLOOKUP($B258,Seqs!$A:$B,2,0),AU258,1),"")</f>
        <v>S</v>
      </c>
      <c r="AU258" s="3">
        <v>320</v>
      </c>
      <c r="AV258" s="3" t="str">
        <f>IFERROR(MID(VLOOKUP($B258,Seqs!$A:$B,2,0),AW258,1),"")</f>
        <v>N</v>
      </c>
      <c r="AW258" s="3">
        <v>321</v>
      </c>
      <c r="AX258" s="3" t="str">
        <f>IFERROR(MID(VLOOKUP($B258,Seqs!$A:$B,2,0),AY258,1),"")</f>
        <v>C</v>
      </c>
      <c r="AY258" s="3">
        <v>341</v>
      </c>
      <c r="AZ258" s="77" t="str">
        <f>VLOOKUP(B258,Classification!A:D,2,0)</f>
        <v>A</v>
      </c>
      <c r="BA258" s="94" t="str">
        <f>VLOOKUP(B258,Classification!A:D,4,0)</f>
        <v>ClassAorphans</v>
      </c>
      <c r="BB258" s="27" t="b">
        <f t="shared" ref="BB258" si="2207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2208">_xlfn.AGGREGATE(9,6,CH258:CS258)-_xlfn.AGGREGATE(9,6,BV258:CG258)+12</f>
        <v>245</v>
      </c>
      <c r="BD258" s="16" t="s">
        <v>1372</v>
      </c>
      <c r="BE258" s="3" t="s">
        <v>1370</v>
      </c>
      <c r="BF258" s="118">
        <v>2.9</v>
      </c>
      <c r="BG258" s="49" t="s">
        <v>1</v>
      </c>
      <c r="BH258" s="49" t="s">
        <v>1</v>
      </c>
      <c r="BI258" s="1"/>
      <c r="BJ258" s="70" t="s">
        <v>1283</v>
      </c>
      <c r="BK258" s="57" t="s">
        <v>1283</v>
      </c>
      <c r="BL258" s="57" t="s">
        <v>1283</v>
      </c>
      <c r="BM258" s="57" t="s">
        <v>1283</v>
      </c>
      <c r="BN258" s="57" t="s">
        <v>1283</v>
      </c>
      <c r="BO258" s="57" t="s">
        <v>1283</v>
      </c>
      <c r="BP258" s="57" t="s">
        <v>1283</v>
      </c>
      <c r="BQ258" s="57" t="s">
        <v>1283</v>
      </c>
      <c r="BR258" s="57" t="s">
        <v>1283</v>
      </c>
      <c r="BS258" s="57" t="s">
        <v>1283</v>
      </c>
      <c r="BT258" s="57" t="s">
        <v>1283</v>
      </c>
      <c r="BU258" s="57" t="s">
        <v>1283</v>
      </c>
      <c r="BV258" s="70">
        <f t="shared" ref="BV258" si="2209">E258</f>
        <v>40</v>
      </c>
      <c r="BW258" s="71" t="str">
        <f t="shared" ref="BW258" si="2210">I258</f>
        <v>-</v>
      </c>
      <c r="BX258" s="72">
        <f t="shared" ref="BX258" si="2211">M258</f>
        <v>73</v>
      </c>
      <c r="BY258" s="71" t="str">
        <f t="shared" ref="BY258" si="2212">Q258</f>
        <v>-</v>
      </c>
      <c r="BZ258" s="72">
        <f t="shared" ref="BZ258" si="2213">U258</f>
        <v>109</v>
      </c>
      <c r="CA258" s="71">
        <f t="shared" ref="CA258" si="2214">Y258</f>
        <v>146</v>
      </c>
      <c r="CB258" s="72">
        <f t="shared" ref="CB258" si="2215">AC258</f>
        <v>154</v>
      </c>
      <c r="CC258" s="71">
        <f t="shared" ref="CC258" si="2216">AG258</f>
        <v>193</v>
      </c>
      <c r="CD258" s="72">
        <f t="shared" ref="CD258" si="2217">AK258</f>
        <v>200</v>
      </c>
      <c r="CE258" s="71">
        <f t="shared" ref="CE258" si="2218">AO258</f>
        <v>261</v>
      </c>
      <c r="CF258" s="72">
        <f t="shared" ref="CF258" si="2219">AS258</f>
        <v>295</v>
      </c>
      <c r="CG258" s="71">
        <f t="shared" ref="CG258" si="2220">AW258</f>
        <v>321</v>
      </c>
      <c r="CH258" s="70">
        <f t="shared" ref="CH258" si="2221">G258</f>
        <v>68</v>
      </c>
      <c r="CI258" s="71" t="str">
        <f t="shared" ref="CI258" si="2222">K258</f>
        <v>-</v>
      </c>
      <c r="CJ258" s="72">
        <f t="shared" ref="CJ258" si="2223">O258</f>
        <v>103</v>
      </c>
      <c r="CK258" s="72" t="str">
        <f t="shared" ref="CK258" si="2224">S258</f>
        <v>-</v>
      </c>
      <c r="CL258" s="72">
        <f t="shared" ref="CL258" si="2225">W258</f>
        <v>145</v>
      </c>
      <c r="CM258" s="72">
        <f t="shared" ref="CM258" si="2226">AA258</f>
        <v>153</v>
      </c>
      <c r="CN258" s="72">
        <f t="shared" ref="CN258" si="2227">AE258</f>
        <v>178</v>
      </c>
      <c r="CO258" s="72">
        <f t="shared" ref="CO258" si="2228">AI258</f>
        <v>195</v>
      </c>
      <c r="CP258" s="72">
        <f t="shared" ref="CP258" si="2229">AM258</f>
        <v>232</v>
      </c>
      <c r="CQ258" s="72">
        <f t="shared" ref="CQ258" si="2230">AQ258</f>
        <v>290</v>
      </c>
      <c r="CR258" s="72">
        <f t="shared" ref="CR258" si="2231">AU258</f>
        <v>320</v>
      </c>
      <c r="CS258" s="72">
        <f t="shared" ref="CS258" si="2232">AY258</f>
        <v>341</v>
      </c>
      <c r="CT258" s="23" t="e">
        <f t="shared" ref="CT258" si="2233">M258-K258</f>
        <v>#VALUE!</v>
      </c>
    </row>
    <row r="259" spans="1:1029" x14ac:dyDescent="0.2">
      <c r="A259" s="3" t="str">
        <f t="shared" ref="A259" si="2234">CONCATENATE(B259,"_",C259)</f>
        <v>gpr52_human_6LI2</v>
      </c>
      <c r="B259" s="3" t="s">
        <v>259</v>
      </c>
      <c r="C259" s="3" t="s">
        <v>1666</v>
      </c>
      <c r="D259" s="3" t="str">
        <f>IFERROR(MID(VLOOKUP($B259,Seqs!$A:$B,2,0),E259,1),"")</f>
        <v>C</v>
      </c>
      <c r="E259" s="3">
        <v>40</v>
      </c>
      <c r="F259" s="3" t="str">
        <f>IFERROR(MID(VLOOKUP($B259,Seqs!$A:$B,2,0),G259,1),"")</f>
        <v>F</v>
      </c>
      <c r="G259" s="3">
        <v>65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T</v>
      </c>
      <c r="M259" s="3">
        <v>75</v>
      </c>
      <c r="N259" s="3" t="str">
        <f>IFERROR(MID(VLOOKUP($B259,Seqs!$A:$B,2,0),O259,1),"")</f>
        <v>H</v>
      </c>
      <c r="O259" s="3">
        <v>103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H</v>
      </c>
      <c r="U259" s="3">
        <v>109</v>
      </c>
      <c r="V259" s="3" t="str">
        <f>IFERROR(MID(VLOOKUP($B259,Seqs!$A:$B,2,0),W259,1),"")</f>
        <v>K</v>
      </c>
      <c r="W259" s="3">
        <v>145</v>
      </c>
      <c r="X259" s="3" t="str">
        <f>IFERROR(MID(VLOOKUP($B259,Seqs!$A:$B,2,0),Y259,1),"")</f>
        <v>P</v>
      </c>
      <c r="Y259" s="3">
        <v>146</v>
      </c>
      <c r="Z259" s="3" t="str">
        <f>IFERROR(MID(VLOOKUP($B259,Seqs!$A:$B,2,0),AA259,1),"")</f>
        <v>V</v>
      </c>
      <c r="AA259" s="3">
        <v>153</v>
      </c>
      <c r="AB259" s="3" t="str">
        <f>IFERROR(MID(VLOOKUP($B259,Seqs!$A:$B,2,0),AC259,1),"")</f>
        <v>T</v>
      </c>
      <c r="AC259" s="3">
        <v>154</v>
      </c>
      <c r="AD259" s="3" t="str">
        <f>IFERROR(MID(VLOOKUP($B259,Seqs!$A:$B,2,0),AE259,1),"")</f>
        <v>F</v>
      </c>
      <c r="AE259" s="3">
        <v>178</v>
      </c>
      <c r="AF259" s="3" t="str">
        <f>IFERROR(MID(VLOOKUP($B259,Seqs!$A:$B,2,0),AG259,1),"")</f>
        <v>C</v>
      </c>
      <c r="AG259" s="3">
        <v>193</v>
      </c>
      <c r="AH259" s="3" t="str">
        <f>IFERROR(MID(VLOOKUP($B259,Seqs!$A:$B,2,0),AI259,1),"")</f>
        <v>T</v>
      </c>
      <c r="AI259" s="3">
        <v>195</v>
      </c>
      <c r="AJ259" s="3" t="str">
        <f>IFERROR(MID(VLOOKUP($B259,Seqs!$A:$B,2,0),AK259,1),"")</f>
        <v>S</v>
      </c>
      <c r="AK259" s="3">
        <v>200</v>
      </c>
      <c r="AL259" s="3" t="str">
        <f>IFERROR(MID(VLOOKUP($B259,Seqs!$A:$B,2,0),AM259,1),"")</f>
        <v>H</v>
      </c>
      <c r="AM259" s="3">
        <v>233</v>
      </c>
      <c r="AN259" s="3" t="str">
        <f>IFERROR(MID(VLOOKUP($B259,Seqs!$A:$B,2,0),AO259,1),"")</f>
        <v>Y</v>
      </c>
      <c r="AO259" s="3">
        <v>263</v>
      </c>
      <c r="AP259" s="3" t="str">
        <f>IFERROR(MID(VLOOKUP($B259,Seqs!$A:$B,2,0),AQ259,1),"")</f>
        <v>R</v>
      </c>
      <c r="AQ259" s="3">
        <v>291</v>
      </c>
      <c r="AR259" s="3" t="str">
        <f>IFERROR(MID(VLOOKUP($B259,Seqs!$A:$B,2,0),AS259,1),"")</f>
        <v>N</v>
      </c>
      <c r="AS259" s="3">
        <v>295</v>
      </c>
      <c r="AT259" s="3" t="str">
        <f>IFERROR(MID(VLOOKUP($B259,Seqs!$A:$B,2,0),AU259,1),"")</f>
        <v>S</v>
      </c>
      <c r="AU259" s="3">
        <v>320</v>
      </c>
      <c r="AV259" s="3" t="str">
        <f>IFERROR(MID(VLOOKUP($B259,Seqs!$A:$B,2,0),AW259,1),"")</f>
        <v>N</v>
      </c>
      <c r="AW259" s="3">
        <v>321</v>
      </c>
      <c r="AX259" s="3" t="str">
        <f>IFERROR(MID(VLOOKUP($B259,Seqs!$A:$B,2,0),AY259,1),"")</f>
        <v>M</v>
      </c>
      <c r="AY259" s="3">
        <v>340</v>
      </c>
      <c r="AZ259" s="77" t="str">
        <f>VLOOKUP(B259,Classification!A:D,2,0)</f>
        <v>A</v>
      </c>
      <c r="BA259" s="94" t="str">
        <f>VLOOKUP(B259,Classification!A:D,4,0)</f>
        <v>ClassAorphans</v>
      </c>
      <c r="BB259" s="27" t="b">
        <f t="shared" ref="BB259" si="2235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" si="2236">_xlfn.AGGREGATE(9,6,CH259:CS259)-_xlfn.AGGREGATE(9,6,BV259:CG259)+12</f>
        <v>239</v>
      </c>
      <c r="BD259" s="16" t="s">
        <v>23</v>
      </c>
      <c r="BE259" s="3" t="s">
        <v>1370</v>
      </c>
      <c r="BF259" s="118">
        <v>2.8</v>
      </c>
      <c r="BG259" s="49" t="s">
        <v>1</v>
      </c>
      <c r="BH259" s="49" t="s">
        <v>1</v>
      </c>
      <c r="BI259" s="1"/>
      <c r="BJ259" s="70" t="s">
        <v>1283</v>
      </c>
      <c r="BK259" s="57" t="s">
        <v>1283</v>
      </c>
      <c r="BL259" s="57" t="s">
        <v>1283</v>
      </c>
      <c r="BM259" s="57" t="s">
        <v>1283</v>
      </c>
      <c r="BN259" s="57" t="s">
        <v>1283</v>
      </c>
      <c r="BO259" s="57" t="s">
        <v>1283</v>
      </c>
      <c r="BP259" s="57" t="s">
        <v>1283</v>
      </c>
      <c r="BQ259" s="57" t="s">
        <v>1283</v>
      </c>
      <c r="BR259" s="57" t="s">
        <v>1283</v>
      </c>
      <c r="BS259" s="57" t="s">
        <v>1283</v>
      </c>
      <c r="BT259" s="57" t="s">
        <v>1283</v>
      </c>
      <c r="BU259" s="57" t="s">
        <v>1283</v>
      </c>
      <c r="BV259" s="70">
        <f t="shared" ref="BV259" si="2237">E259</f>
        <v>40</v>
      </c>
      <c r="BW259" s="71" t="str">
        <f t="shared" ref="BW259" si="2238">I259</f>
        <v>-</v>
      </c>
      <c r="BX259" s="72">
        <f t="shared" ref="BX259" si="2239">M259</f>
        <v>75</v>
      </c>
      <c r="BY259" s="71" t="str">
        <f t="shared" ref="BY259" si="2240">Q259</f>
        <v>-</v>
      </c>
      <c r="BZ259" s="72">
        <f t="shared" ref="BZ259" si="2241">U259</f>
        <v>109</v>
      </c>
      <c r="CA259" s="71">
        <f t="shared" ref="CA259" si="2242">Y259</f>
        <v>146</v>
      </c>
      <c r="CB259" s="72">
        <f t="shared" ref="CB259" si="2243">AC259</f>
        <v>154</v>
      </c>
      <c r="CC259" s="71">
        <f t="shared" ref="CC259" si="2244">AG259</f>
        <v>193</v>
      </c>
      <c r="CD259" s="72">
        <f t="shared" ref="CD259" si="2245">AK259</f>
        <v>200</v>
      </c>
      <c r="CE259" s="71">
        <f t="shared" ref="CE259" si="2246">AO259</f>
        <v>263</v>
      </c>
      <c r="CF259" s="72">
        <f t="shared" ref="CF259" si="2247">AS259</f>
        <v>295</v>
      </c>
      <c r="CG259" s="71">
        <f t="shared" ref="CG259" si="2248">AW259</f>
        <v>321</v>
      </c>
      <c r="CH259" s="70">
        <f t="shared" ref="CH259" si="2249">G259</f>
        <v>65</v>
      </c>
      <c r="CI259" s="71" t="str">
        <f t="shared" ref="CI259" si="2250">K259</f>
        <v>-</v>
      </c>
      <c r="CJ259" s="72">
        <f t="shared" ref="CJ259" si="2251">O259</f>
        <v>103</v>
      </c>
      <c r="CK259" s="72" t="str">
        <f t="shared" ref="CK259" si="2252">S259</f>
        <v>-</v>
      </c>
      <c r="CL259" s="72">
        <f t="shared" ref="CL259" si="2253">W259</f>
        <v>145</v>
      </c>
      <c r="CM259" s="72">
        <f t="shared" ref="CM259" si="2254">AA259</f>
        <v>153</v>
      </c>
      <c r="CN259" s="72">
        <f t="shared" ref="CN259" si="2255">AE259</f>
        <v>178</v>
      </c>
      <c r="CO259" s="72">
        <f t="shared" ref="CO259" si="2256">AI259</f>
        <v>195</v>
      </c>
      <c r="CP259" s="72">
        <f t="shared" ref="CP259" si="2257">AM259</f>
        <v>233</v>
      </c>
      <c r="CQ259" s="72">
        <f t="shared" ref="CQ259" si="2258">AQ259</f>
        <v>291</v>
      </c>
      <c r="CR259" s="72">
        <f t="shared" ref="CR259" si="2259">AU259</f>
        <v>320</v>
      </c>
      <c r="CS259" s="72">
        <f t="shared" ref="CS259" si="2260">AY259</f>
        <v>340</v>
      </c>
      <c r="CT259" s="23" t="e">
        <f t="shared" ref="CT259" si="2261">M259-K259</f>
        <v>#VALUE!</v>
      </c>
    </row>
    <row r="260" spans="1:1029" x14ac:dyDescent="0.2">
      <c r="A260" s="3" t="str">
        <f t="shared" ref="A260" si="2262">CONCATENATE(B260,"_",C260)</f>
        <v>gpr52_human_6LI3</v>
      </c>
      <c r="B260" s="3" t="s">
        <v>259</v>
      </c>
      <c r="C260" s="3" t="s">
        <v>1667</v>
      </c>
      <c r="D260" s="3" t="str">
        <f>IFERROR(MID(VLOOKUP($B260,Seqs!$A:$B,2,0),E260,1),"")</f>
        <v>V</v>
      </c>
      <c r="E260" s="3">
        <v>37</v>
      </c>
      <c r="F260" s="3" t="str">
        <f>IFERROR(MID(VLOOKUP($B260,Seqs!$A:$B,2,0),G260,1),"")</f>
        <v>A</v>
      </c>
      <c r="G260" s="3">
        <v>68</v>
      </c>
      <c r="H260" s="3" t="str">
        <f>IFERROR(MID(VLOOKUP($B260,Seqs!$A:$B,2,0),I260,1),"")</f>
        <v>P</v>
      </c>
      <c r="I260" s="23">
        <v>69</v>
      </c>
      <c r="J260" s="3" t="str">
        <f>IFERROR(MID(VLOOKUP($B260,Seqs!$A:$B,2,0),K260,1),"")</f>
        <v>H</v>
      </c>
      <c r="K260" s="23">
        <v>73</v>
      </c>
      <c r="L260" s="3" t="str">
        <f>IFERROR(MID(VLOOKUP($B260,Seqs!$A:$B,2,0),M260,1),"")</f>
        <v>Y</v>
      </c>
      <c r="M260" s="3">
        <v>74</v>
      </c>
      <c r="N260" s="3" t="str">
        <f>IFERROR(MID(VLOOKUP($B260,Seqs!$A:$B,2,0),O260,1),"")</f>
        <v>Y</v>
      </c>
      <c r="O260" s="3">
        <v>104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V</v>
      </c>
      <c r="U260" s="3">
        <v>108</v>
      </c>
      <c r="V260" s="3" t="str">
        <f>IFERROR(MID(VLOOKUP($B260,Seqs!$A:$B,2,0),W260,1),"")</f>
        <v>K</v>
      </c>
      <c r="W260" s="3">
        <v>145</v>
      </c>
      <c r="X260" s="3" t="str">
        <f>IFERROR(MID(VLOOKUP($B260,Seqs!$A:$B,2,0),Y260,1),"")</f>
        <v>P</v>
      </c>
      <c r="Y260" s="3">
        <v>146</v>
      </c>
      <c r="Z260" s="3" t="str">
        <f>IFERROR(MID(VLOOKUP($B260,Seqs!$A:$B,2,0),AA260,1),"")</f>
        <v>V</v>
      </c>
      <c r="AA260" s="3">
        <v>153</v>
      </c>
      <c r="AB260" s="3" t="str">
        <f>IFERROR(MID(VLOOKUP($B260,Seqs!$A:$B,2,0),AC260,1),"")</f>
        <v>T</v>
      </c>
      <c r="AC260" s="3">
        <v>154</v>
      </c>
      <c r="AD260" s="3" t="str">
        <f>IFERROR(MID(VLOOKUP($B260,Seqs!$A:$B,2,0),AE260,1),"")</f>
        <v>F</v>
      </c>
      <c r="AE260" s="3">
        <v>178</v>
      </c>
      <c r="AF260" s="3" t="str">
        <f>IFERROR(MID(VLOOKUP($B260,Seqs!$A:$B,2,0),AG260,1),"")</f>
        <v>C</v>
      </c>
      <c r="AG260" s="3">
        <v>193</v>
      </c>
      <c r="AH260" s="3" t="str">
        <f>IFERROR(MID(VLOOKUP($B260,Seqs!$A:$B,2,0),AI260,1),"")</f>
        <v>T</v>
      </c>
      <c r="AI260" s="3">
        <v>195</v>
      </c>
      <c r="AJ260" s="3" t="str">
        <f>IFERROR(MID(VLOOKUP($B260,Seqs!$A:$B,2,0),AK260,1),"")</f>
        <v>S</v>
      </c>
      <c r="AK260" s="3">
        <v>200</v>
      </c>
      <c r="AL260" s="3" t="str">
        <f>IFERROR(MID(VLOOKUP($B260,Seqs!$A:$B,2,0),AM260,1),"")</f>
        <v>F</v>
      </c>
      <c r="AM260" s="3">
        <v>244</v>
      </c>
      <c r="AN260" s="3" t="str">
        <f>IFERROR(MID(VLOOKUP($B260,Seqs!$A:$B,2,0),AO260,1),"")</f>
        <v>M</v>
      </c>
      <c r="AO260" s="3">
        <v>265</v>
      </c>
      <c r="AP260" s="3" t="str">
        <f>IFERROR(MID(VLOOKUP($B260,Seqs!$A:$B,2,0),AQ260,1),"")</f>
        <v>S</v>
      </c>
      <c r="AQ260" s="3">
        <v>289</v>
      </c>
      <c r="AR260" s="3" t="str">
        <f>IFERROR(MID(VLOOKUP($B260,Seqs!$A:$B,2,0),AS260,1),"")</f>
        <v>N</v>
      </c>
      <c r="AS260" s="3">
        <v>295</v>
      </c>
      <c r="AT260" s="3" t="str">
        <f>IFERROR(MID(VLOOKUP($B260,Seqs!$A:$B,2,0),AU260,1),"")</f>
        <v>S</v>
      </c>
      <c r="AU260" s="3">
        <v>320</v>
      </c>
      <c r="AV260" s="3" t="str">
        <f>IFERROR(MID(VLOOKUP($B260,Seqs!$A:$B,2,0),AW260,1),"")</f>
        <v>V</v>
      </c>
      <c r="AW260" s="3">
        <v>323</v>
      </c>
      <c r="AX260" s="3" t="str">
        <f>IFERROR(MID(VLOOKUP($B260,Seqs!$A:$B,2,0),AY260,1),"")</f>
        <v>T</v>
      </c>
      <c r="AY260" s="3">
        <v>337</v>
      </c>
      <c r="AZ260" s="77" t="str">
        <f>VLOOKUP(B260,Classification!A:D,2,0)</f>
        <v>A</v>
      </c>
      <c r="BA260" s="94" t="str">
        <f>VLOOKUP(B260,Classification!A:D,4,0)</f>
        <v>ClassAorphans</v>
      </c>
      <c r="BB260" s="27" t="b">
        <f t="shared" ref="BB260" si="2263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" si="2264">_xlfn.AGGREGATE(9,6,CH260:CS260)-_xlfn.AGGREGATE(9,6,BV260:CG260)+12</f>
        <v>254</v>
      </c>
      <c r="BD260" s="16" t="s">
        <v>1425</v>
      </c>
      <c r="BE260" s="3" t="s">
        <v>1424</v>
      </c>
      <c r="BF260" s="118">
        <v>3.32</v>
      </c>
      <c r="BG260" s="49" t="s">
        <v>1418</v>
      </c>
      <c r="BH260" s="49" t="s">
        <v>1418</v>
      </c>
      <c r="BI260" s="1"/>
      <c r="BJ260" s="70" t="s">
        <v>1283</v>
      </c>
      <c r="BK260" s="57" t="s">
        <v>1283</v>
      </c>
      <c r="BL260" s="57" t="s">
        <v>1283</v>
      </c>
      <c r="BM260" s="57" t="s">
        <v>1283</v>
      </c>
      <c r="BN260" s="57" t="s">
        <v>1283</v>
      </c>
      <c r="BO260" s="57" t="s">
        <v>1283</v>
      </c>
      <c r="BP260" s="57" t="s">
        <v>1283</v>
      </c>
      <c r="BQ260" s="57" t="s">
        <v>1283</v>
      </c>
      <c r="BR260" s="57" t="s">
        <v>1283</v>
      </c>
      <c r="BS260" s="57" t="s">
        <v>1283</v>
      </c>
      <c r="BT260" s="57" t="s">
        <v>1283</v>
      </c>
      <c r="BU260" s="57" t="s">
        <v>1283</v>
      </c>
      <c r="BV260" s="70">
        <f t="shared" ref="BV260" si="2265">E260</f>
        <v>37</v>
      </c>
      <c r="BW260" s="71">
        <f t="shared" ref="BW260" si="2266">I260</f>
        <v>69</v>
      </c>
      <c r="BX260" s="72">
        <f t="shared" ref="BX260" si="2267">M260</f>
        <v>74</v>
      </c>
      <c r="BY260" s="71" t="str">
        <f t="shared" ref="BY260" si="2268">Q260</f>
        <v>-</v>
      </c>
      <c r="BZ260" s="72">
        <f t="shared" ref="BZ260" si="2269">U260</f>
        <v>108</v>
      </c>
      <c r="CA260" s="71">
        <f t="shared" ref="CA260" si="2270">Y260</f>
        <v>146</v>
      </c>
      <c r="CB260" s="72">
        <f t="shared" ref="CB260" si="2271">AC260</f>
        <v>154</v>
      </c>
      <c r="CC260" s="71">
        <f t="shared" ref="CC260" si="2272">AG260</f>
        <v>193</v>
      </c>
      <c r="CD260" s="72">
        <f t="shared" ref="CD260" si="2273">AK260</f>
        <v>200</v>
      </c>
      <c r="CE260" s="71">
        <f t="shared" ref="CE260" si="2274">AO260</f>
        <v>265</v>
      </c>
      <c r="CF260" s="72">
        <f t="shared" ref="CF260" si="2275">AS260</f>
        <v>295</v>
      </c>
      <c r="CG260" s="71">
        <f t="shared" ref="CG260" si="2276">AW260</f>
        <v>323</v>
      </c>
      <c r="CH260" s="70">
        <f t="shared" ref="CH260" si="2277">G260</f>
        <v>68</v>
      </c>
      <c r="CI260" s="71">
        <f t="shared" ref="CI260" si="2278">K260</f>
        <v>73</v>
      </c>
      <c r="CJ260" s="72">
        <f t="shared" ref="CJ260" si="2279">O260</f>
        <v>104</v>
      </c>
      <c r="CK260" s="72" t="str">
        <f t="shared" ref="CK260" si="2280">S260</f>
        <v>-</v>
      </c>
      <c r="CL260" s="72">
        <f t="shared" ref="CL260" si="2281">W260</f>
        <v>145</v>
      </c>
      <c r="CM260" s="72">
        <f t="shared" ref="CM260" si="2282">AA260</f>
        <v>153</v>
      </c>
      <c r="CN260" s="72">
        <f t="shared" ref="CN260" si="2283">AE260</f>
        <v>178</v>
      </c>
      <c r="CO260" s="72">
        <f t="shared" ref="CO260" si="2284">AI260</f>
        <v>195</v>
      </c>
      <c r="CP260" s="72">
        <f t="shared" ref="CP260" si="2285">AM260</f>
        <v>244</v>
      </c>
      <c r="CQ260" s="72">
        <f t="shared" ref="CQ260" si="2286">AQ260</f>
        <v>289</v>
      </c>
      <c r="CR260" s="72">
        <f t="shared" ref="CR260" si="2287">AU260</f>
        <v>320</v>
      </c>
      <c r="CS260" s="72">
        <f t="shared" ref="CS260" si="2288">AY260</f>
        <v>337</v>
      </c>
      <c r="CT260" s="23">
        <f t="shared" ref="CT260" si="2289">M260-K260</f>
        <v>1</v>
      </c>
    </row>
    <row r="261" spans="1:1029" x14ac:dyDescent="0.2">
      <c r="A261" s="3" t="str">
        <f t="shared" si="1231"/>
        <v>hrh1_human__wt</v>
      </c>
      <c r="B261" s="3" t="s">
        <v>277</v>
      </c>
      <c r="C261" s="3" t="s">
        <v>100</v>
      </c>
      <c r="D261" s="3" t="str">
        <f>IFERROR(MID(VLOOKUP($B261,Seqs!$A:$B,2,0),E261,1),"")</f>
        <v>P</v>
      </c>
      <c r="E261" s="3">
        <v>29</v>
      </c>
      <c r="F261" s="3" t="str">
        <f>IFERROR(MID(VLOOKUP($B261,Seqs!$A:$B,2,0),G261,1),"")</f>
        <v>E</v>
      </c>
      <c r="G261" s="3">
        <v>55</v>
      </c>
      <c r="H261" s="3" t="str">
        <f>IFERROR(MID(VLOOKUP($B261,Seqs!$A:$B,2,0),I261,1),"")</f>
        <v>R</v>
      </c>
      <c r="I261" s="23">
        <v>56</v>
      </c>
      <c r="J261" s="3" t="str">
        <f>IFERROR(MID(VLOOKUP($B261,Seqs!$A:$B,2,0),K261,1),"")</f>
        <v>H</v>
      </c>
      <c r="K261" s="23">
        <v>59</v>
      </c>
      <c r="L261" s="3" t="str">
        <f>IFERROR(MID(VLOOKUP($B261,Seqs!$A:$B,2,0),M261,1),"")</f>
        <v>T</v>
      </c>
      <c r="M261" s="3">
        <v>60</v>
      </c>
      <c r="N261" s="3" t="str">
        <f>IFERROR(MID(VLOOKUP($B261,Seqs!$A:$B,2,0),O261,1),"")</f>
        <v>M</v>
      </c>
      <c r="O261" s="3">
        <v>90</v>
      </c>
      <c r="P261" s="3" t="str">
        <f>IFERROR(MID(VLOOKUP($B261,Seqs!$A:$B,2,0),Q261,1),"")</f>
        <v>K</v>
      </c>
      <c r="Q261" s="3">
        <v>92</v>
      </c>
      <c r="R261" s="3" t="str">
        <f>IFERROR(MID(VLOOKUP($B261,Seqs!$A:$B,2,0),S261,1),"")</f>
        <v>L</v>
      </c>
      <c r="S261" s="3">
        <v>95</v>
      </c>
      <c r="T261" s="3" t="str">
        <f>IFERROR(MID(VLOOKUP($B261,Seqs!$A:$B,2,0),U261,1),"")</f>
        <v>G</v>
      </c>
      <c r="U261" s="3">
        <v>96</v>
      </c>
      <c r="V261" s="3" t="str">
        <f>IFERROR(MID(VLOOKUP($B261,Seqs!$A:$B,2,0),W261,1),"")</f>
        <v>Q</v>
      </c>
      <c r="W261" s="3">
        <v>131</v>
      </c>
      <c r="X261" s="3" t="str">
        <f>IFERROR(MID(VLOOKUP($B261,Seqs!$A:$B,2,0),Y261,1),"")</f>
        <v>P</v>
      </c>
      <c r="Y261" s="3">
        <v>132</v>
      </c>
      <c r="Z261" s="3" t="str">
        <f>IFERROR(MID(VLOOKUP($B261,Seqs!$A:$B,2,0),AA261,1),"")</f>
        <v>R</v>
      </c>
      <c r="AA261" s="3">
        <v>139</v>
      </c>
      <c r="AB261" s="3" t="str">
        <f>IFERROR(MID(VLOOKUP($B261,Seqs!$A:$B,2,0),AC261,1),"")</f>
        <v>T</v>
      </c>
      <c r="AC261" s="3">
        <v>140</v>
      </c>
      <c r="AD261" s="3" t="str">
        <f>IFERROR(MID(VLOOKUP($B261,Seqs!$A:$B,2,0),AE261,1),"")</f>
        <v>G</v>
      </c>
      <c r="AE261" s="3">
        <v>164</v>
      </c>
      <c r="AF261" s="3" t="str">
        <f>IFERROR(MID(VLOOKUP($B261,Seqs!$A:$B,2,0),AG261,1),"")</f>
        <v>C</v>
      </c>
      <c r="AG261" s="3">
        <v>180</v>
      </c>
      <c r="AH261" s="3" t="str">
        <f>IFERROR(MID(VLOOKUP($B261,Seqs!$A:$B,2,0),AI261,1),"")</f>
        <v>T</v>
      </c>
      <c r="AI261" s="3">
        <v>182</v>
      </c>
      <c r="AJ261" s="3" t="str">
        <f>IFERROR(MID(VLOOKUP($B261,Seqs!$A:$B,2,0),AK261,1),"")</f>
        <v>V</v>
      </c>
      <c r="AK261" s="3">
        <v>187</v>
      </c>
      <c r="AL261" s="3" t="str">
        <f>IFERROR(MID(VLOOKUP($B261,Seqs!$A:$B,2,0),AM261,1),"")</f>
        <v>N</v>
      </c>
      <c r="AM261" s="3">
        <v>228</v>
      </c>
      <c r="AN261" s="3" t="str">
        <f>IFERROR(MID(VLOOKUP($B261,Seqs!$A:$B,2,0),AO261,1),"")</f>
        <v>G</v>
      </c>
      <c r="AO261" s="3">
        <v>404</v>
      </c>
      <c r="AP261" s="3" t="str">
        <f>IFERROR(MID(VLOOKUP($B261,Seqs!$A:$B,2,0),AQ261,1),"")</f>
        <v>C</v>
      </c>
      <c r="AQ261" s="3">
        <v>441</v>
      </c>
      <c r="AR261" s="3" t="str">
        <f>IFERROR(MID(VLOOKUP($B261,Seqs!$A:$B,2,0),AS261,1),"")</f>
        <v>N</v>
      </c>
      <c r="AS261" s="3">
        <v>446</v>
      </c>
      <c r="AT261" s="3" t="str">
        <f>IFERROR(MID(VLOOKUP($B261,Seqs!$A:$B,2,0),AU261,1),"")</f>
        <v>C</v>
      </c>
      <c r="AU261" s="3">
        <v>471</v>
      </c>
      <c r="AV261" s="3" t="str">
        <f>IFERROR(MID(VLOOKUP($B261,Seqs!$A:$B,2,0),AW261,1),"")</f>
        <v>N</v>
      </c>
      <c r="AW261" s="3">
        <v>472</v>
      </c>
      <c r="AX261" s="3" t="str">
        <f>IFERROR(MID(VLOOKUP($B261,Seqs!$A:$B,2,0),AY261,1),"")</f>
        <v>H</v>
      </c>
      <c r="AY261" s="3">
        <v>484</v>
      </c>
      <c r="AZ261" s="77" t="str">
        <f>VLOOKUP(B261,Classification!A:D,2,0)</f>
        <v>A</v>
      </c>
      <c r="BA261" s="94" t="str">
        <f>VLOOKUP(B261,Classification!A:D,4,0)</f>
        <v>Histamine</v>
      </c>
      <c r="BB261" s="27" t="b">
        <f t="shared" si="1232"/>
        <v>1</v>
      </c>
      <c r="BC261" s="23">
        <f t="shared" si="2012"/>
        <v>257</v>
      </c>
      <c r="BD261" s="34" t="s">
        <v>23</v>
      </c>
      <c r="BE261" s="3" t="s">
        <v>23</v>
      </c>
      <c r="BF261" s="118" t="s">
        <v>23</v>
      </c>
      <c r="BG261" s="49" t="s">
        <v>1368</v>
      </c>
      <c r="BH261" s="49" t="s">
        <v>1373</v>
      </c>
      <c r="BI261" s="1"/>
      <c r="BJ261" s="70" t="s">
        <v>1283</v>
      </c>
      <c r="BK261" s="57" t="s">
        <v>1283</v>
      </c>
      <c r="BL261" s="57" t="s">
        <v>1283</v>
      </c>
      <c r="BM261" s="57" t="s">
        <v>1283</v>
      </c>
      <c r="BN261" s="57" t="s">
        <v>1283</v>
      </c>
      <c r="BO261" s="57" t="s">
        <v>1283</v>
      </c>
      <c r="BP261" s="57" t="s">
        <v>1283</v>
      </c>
      <c r="BQ261" s="57" t="s">
        <v>1283</v>
      </c>
      <c r="BR261" s="57" t="s">
        <v>1283</v>
      </c>
      <c r="BS261" s="57" t="s">
        <v>1283</v>
      </c>
      <c r="BT261" s="57" t="s">
        <v>1283</v>
      </c>
      <c r="BU261" s="57" t="s">
        <v>1283</v>
      </c>
      <c r="BV261" s="70">
        <f t="shared" si="2013"/>
        <v>29</v>
      </c>
      <c r="BW261" s="71">
        <f t="shared" si="2014"/>
        <v>56</v>
      </c>
      <c r="BX261" s="72">
        <f t="shared" si="2015"/>
        <v>60</v>
      </c>
      <c r="BY261" s="71">
        <f t="shared" si="2016"/>
        <v>92</v>
      </c>
      <c r="BZ261" s="72">
        <f t="shared" si="2017"/>
        <v>96</v>
      </c>
      <c r="CA261" s="71">
        <f t="shared" si="2018"/>
        <v>132</v>
      </c>
      <c r="CB261" s="72">
        <f t="shared" si="2019"/>
        <v>140</v>
      </c>
      <c r="CC261" s="71">
        <f t="shared" si="2020"/>
        <v>180</v>
      </c>
      <c r="CD261" s="72">
        <f t="shared" si="2021"/>
        <v>187</v>
      </c>
      <c r="CE261" s="71">
        <f t="shared" si="2022"/>
        <v>404</v>
      </c>
      <c r="CF261" s="72">
        <f t="shared" si="2023"/>
        <v>446</v>
      </c>
      <c r="CG261" s="71">
        <f t="shared" si="2024"/>
        <v>472</v>
      </c>
      <c r="CH261" s="70">
        <f t="shared" si="2025"/>
        <v>55</v>
      </c>
      <c r="CI261" s="71">
        <f t="shared" si="2026"/>
        <v>59</v>
      </c>
      <c r="CJ261" s="72">
        <f t="shared" si="2027"/>
        <v>90</v>
      </c>
      <c r="CK261" s="72">
        <f t="shared" si="2028"/>
        <v>95</v>
      </c>
      <c r="CL261" s="72">
        <f t="shared" si="2029"/>
        <v>131</v>
      </c>
      <c r="CM261" s="72">
        <f t="shared" si="2030"/>
        <v>139</v>
      </c>
      <c r="CN261" s="72">
        <f t="shared" si="2031"/>
        <v>164</v>
      </c>
      <c r="CO261" s="72">
        <f t="shared" si="2032"/>
        <v>182</v>
      </c>
      <c r="CP261" s="72">
        <f t="shared" si="2033"/>
        <v>228</v>
      </c>
      <c r="CQ261" s="72">
        <f t="shared" si="2034"/>
        <v>441</v>
      </c>
      <c r="CR261" s="72">
        <f t="shared" si="2035"/>
        <v>471</v>
      </c>
      <c r="CS261" s="72">
        <f t="shared" si="2036"/>
        <v>484</v>
      </c>
      <c r="CT261" s="23">
        <f t="shared" si="2037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231"/>
        <v>hrh1_human_3RZE</v>
      </c>
      <c r="B262" s="3" t="s">
        <v>277</v>
      </c>
      <c r="C262" s="3" t="s">
        <v>73</v>
      </c>
      <c r="D262" s="3" t="str">
        <f>IFERROR(MID(VLOOKUP($B262,Seqs!$A:$B,2,0),E262,1),"")</f>
        <v>V</v>
      </c>
      <c r="E262" s="3">
        <v>33</v>
      </c>
      <c r="F262" s="3" t="str">
        <f>IFERROR(MID(VLOOKUP($B262,Seqs!$A:$B,2,0),G262,1),"")</f>
        <v>E</v>
      </c>
      <c r="G262" s="3">
        <v>55</v>
      </c>
      <c r="H262" s="3" t="str">
        <f>IFERROR(MID(VLOOKUP($B262,Seqs!$A:$B,2,0),I262,1),"")</f>
        <v>R</v>
      </c>
      <c r="I262" s="23">
        <v>56</v>
      </c>
      <c r="J262" s="3" t="str">
        <f>IFERROR(MID(VLOOKUP($B262,Seqs!$A:$B,2,0),K262,1),"")</f>
        <v>H</v>
      </c>
      <c r="K262" s="23">
        <v>59</v>
      </c>
      <c r="L262" s="3" t="str">
        <f>IFERROR(MID(VLOOKUP($B262,Seqs!$A:$B,2,0),M262,1),"")</f>
        <v>T</v>
      </c>
      <c r="M262" s="3">
        <v>60</v>
      </c>
      <c r="N262" s="3" t="str">
        <f>IFERROR(MID(VLOOKUP($B262,Seqs!$A:$B,2,0),O262,1),"")</f>
        <v>M</v>
      </c>
      <c r="O262" s="3">
        <v>90</v>
      </c>
      <c r="P262" s="3" t="str">
        <f>IFERROR(MID(VLOOKUP($B262,Seqs!$A:$B,2,0),Q262,1),"")</f>
        <v>K</v>
      </c>
      <c r="Q262" s="3">
        <v>92</v>
      </c>
      <c r="R262" s="3" t="str">
        <f>IFERROR(MID(VLOOKUP($B262,Seqs!$A:$B,2,0),S262,1),"")</f>
        <v>L</v>
      </c>
      <c r="S262" s="3">
        <v>95</v>
      </c>
      <c r="T262" s="3" t="str">
        <f>IFERROR(MID(VLOOKUP($B262,Seqs!$A:$B,2,0),U262,1),"")</f>
        <v>G</v>
      </c>
      <c r="U262" s="3">
        <v>96</v>
      </c>
      <c r="V262" s="3" t="str">
        <f>IFERROR(MID(VLOOKUP($B262,Seqs!$A:$B,2,0),W262,1),"")</f>
        <v>Q</v>
      </c>
      <c r="W262" s="3">
        <v>131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T</v>
      </c>
      <c r="AC262" s="3">
        <v>140</v>
      </c>
      <c r="AD262" s="3" t="str">
        <f>IFERROR(MID(VLOOKUP($B262,Seqs!$A:$B,2,0),AE262,1),"")</f>
        <v>G</v>
      </c>
      <c r="AE262" s="3">
        <v>164</v>
      </c>
      <c r="AF262" s="3" t="str">
        <f>IFERROR(MID(VLOOKUP($B262,Seqs!$A:$B,2,0),AG262,1),"")</f>
        <v>C</v>
      </c>
      <c r="AG262" s="3">
        <v>180</v>
      </c>
      <c r="AH262" s="3" t="str">
        <f>IFERROR(MID(VLOOKUP($B262,Seqs!$A:$B,2,0),AI262,1),"")</f>
        <v>T</v>
      </c>
      <c r="AI262" s="3">
        <v>182</v>
      </c>
      <c r="AJ262" s="3" t="str">
        <f>IFERROR(MID(VLOOKUP($B262,Seqs!$A:$B,2,0),AK262,1),"")</f>
        <v>V</v>
      </c>
      <c r="AK262" s="3">
        <v>187</v>
      </c>
      <c r="AL262" s="3" t="str">
        <f>IFERROR(MID(VLOOKUP($B262,Seqs!$A:$B,2,0),AM262,1),"")</f>
        <v>V</v>
      </c>
      <c r="AM262" s="3">
        <v>217</v>
      </c>
      <c r="AN262" s="3" t="str">
        <f>IFERROR(MID(VLOOKUP($B262,Seqs!$A:$B,2,0),AO262,1),"")</f>
        <v>N</v>
      </c>
      <c r="AO262" s="3">
        <v>408</v>
      </c>
      <c r="AP262" s="3" t="str">
        <f>IFERROR(MID(VLOOKUP($B262,Seqs!$A:$B,2,0),AQ262,1),"")</f>
        <v>C</v>
      </c>
      <c r="AQ262" s="3">
        <v>441</v>
      </c>
      <c r="AR262" s="3" t="str">
        <f>IFERROR(MID(VLOOKUP($B262,Seqs!$A:$B,2,0),AS262,1),"")</f>
        <v>N</v>
      </c>
      <c r="AS262" s="3">
        <v>446</v>
      </c>
      <c r="AT262" s="3" t="str">
        <f>IFERROR(MID(VLOOKUP($B262,Seqs!$A:$B,2,0),AU262,1),"")</f>
        <v>C</v>
      </c>
      <c r="AU262" s="3">
        <v>471</v>
      </c>
      <c r="AV262" s="3" t="str">
        <f>IFERROR(MID(VLOOKUP($B262,Seqs!$A:$B,2,0),AW262,1),"")</f>
        <v>N</v>
      </c>
      <c r="AW262" s="3">
        <v>472</v>
      </c>
      <c r="AX262" s="3" t="str">
        <f>IFERROR(MID(VLOOKUP($B262,Seqs!$A:$B,2,0),AY262,1),"")</f>
        <v>H</v>
      </c>
      <c r="AY262" s="3">
        <v>484</v>
      </c>
      <c r="AZ262" s="77" t="str">
        <f>VLOOKUP(B262,Classification!A:D,2,0)</f>
        <v>A</v>
      </c>
      <c r="BA262" s="94" t="str">
        <f>VLOOKUP(B262,Classification!A:D,4,0)</f>
        <v>Histamine</v>
      </c>
      <c r="BB262" s="27" t="b">
        <f t="shared" si="1232"/>
        <v>1</v>
      </c>
      <c r="BC262" s="23">
        <f t="shared" si="2012"/>
        <v>231</v>
      </c>
      <c r="BD262" s="16" t="s">
        <v>1372</v>
      </c>
      <c r="BE262" s="3" t="s">
        <v>1370</v>
      </c>
      <c r="BF262" s="118">
        <v>3.1</v>
      </c>
      <c r="BG262" s="49" t="s">
        <v>1373</v>
      </c>
      <c r="BH262" s="49" t="s">
        <v>1373</v>
      </c>
      <c r="BI262" s="1"/>
      <c r="BJ262" s="70" t="s">
        <v>1283</v>
      </c>
      <c r="BK262" s="57" t="s">
        <v>1283</v>
      </c>
      <c r="BL262" s="57" t="s">
        <v>1283</v>
      </c>
      <c r="BM262" s="57" t="s">
        <v>1283</v>
      </c>
      <c r="BN262" s="57" t="s">
        <v>1283</v>
      </c>
      <c r="BO262" s="57" t="s">
        <v>1283</v>
      </c>
      <c r="BP262" s="57" t="s">
        <v>1283</v>
      </c>
      <c r="BQ262" s="57" t="s">
        <v>1283</v>
      </c>
      <c r="BR262" s="57" t="s">
        <v>1283</v>
      </c>
      <c r="BS262" s="57" t="s">
        <v>1283</v>
      </c>
      <c r="BT262" s="57" t="s">
        <v>1283</v>
      </c>
      <c r="BU262" s="57" t="s">
        <v>1283</v>
      </c>
      <c r="BV262" s="70">
        <f t="shared" si="2013"/>
        <v>33</v>
      </c>
      <c r="BW262" s="71">
        <f t="shared" si="2014"/>
        <v>56</v>
      </c>
      <c r="BX262" s="72">
        <f t="shared" si="2015"/>
        <v>60</v>
      </c>
      <c r="BY262" s="71">
        <f t="shared" si="2016"/>
        <v>92</v>
      </c>
      <c r="BZ262" s="72">
        <f t="shared" si="2017"/>
        <v>96</v>
      </c>
      <c r="CA262" s="71" t="str">
        <f t="shared" si="2018"/>
        <v>-</v>
      </c>
      <c r="CB262" s="72">
        <f t="shared" si="2019"/>
        <v>140</v>
      </c>
      <c r="CC262" s="71">
        <f t="shared" si="2020"/>
        <v>180</v>
      </c>
      <c r="CD262" s="72">
        <f t="shared" si="2021"/>
        <v>187</v>
      </c>
      <c r="CE262" s="71">
        <f t="shared" si="2022"/>
        <v>408</v>
      </c>
      <c r="CF262" s="72">
        <f t="shared" si="2023"/>
        <v>446</v>
      </c>
      <c r="CG262" s="71">
        <f t="shared" si="2024"/>
        <v>472</v>
      </c>
      <c r="CH262" s="70">
        <f t="shared" si="2025"/>
        <v>55</v>
      </c>
      <c r="CI262" s="71">
        <f t="shared" si="2026"/>
        <v>59</v>
      </c>
      <c r="CJ262" s="72">
        <f t="shared" si="2027"/>
        <v>90</v>
      </c>
      <c r="CK262" s="72">
        <f t="shared" si="2028"/>
        <v>95</v>
      </c>
      <c r="CL262" s="72">
        <f t="shared" si="2029"/>
        <v>131</v>
      </c>
      <c r="CM262" s="72" t="str">
        <f t="shared" si="2030"/>
        <v>-</v>
      </c>
      <c r="CN262" s="72">
        <f t="shared" si="2031"/>
        <v>164</v>
      </c>
      <c r="CO262" s="72">
        <f t="shared" si="2032"/>
        <v>182</v>
      </c>
      <c r="CP262" s="72">
        <f t="shared" si="2033"/>
        <v>217</v>
      </c>
      <c r="CQ262" s="72">
        <f t="shared" si="2034"/>
        <v>441</v>
      </c>
      <c r="CR262" s="72">
        <f t="shared" si="2035"/>
        <v>471</v>
      </c>
      <c r="CS262" s="72">
        <f t="shared" si="2036"/>
        <v>484</v>
      </c>
      <c r="CT262" s="23">
        <f t="shared" si="2037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ref="A263:A329" si="2290">CONCATENATE(B263,"_",C263)</f>
        <v>lpar1_human__wt</v>
      </c>
      <c r="B263" s="3" t="s">
        <v>103</v>
      </c>
      <c r="C263" s="3" t="s">
        <v>100</v>
      </c>
      <c r="D263" s="3" t="str">
        <f>IFERROR(MID(VLOOKUP($B263,Seqs!$A:$B,2,0),E263,1),"")</f>
        <v>T</v>
      </c>
      <c r="E263" s="3">
        <v>47</v>
      </c>
      <c r="F263" s="3" t="str">
        <f>IFERROR(MID(VLOOKUP($B263,Seqs!$A:$B,2,0),G263,1),"")</f>
        <v>N</v>
      </c>
      <c r="G263" s="3">
        <v>77</v>
      </c>
      <c r="H263" s="3" t="str">
        <f>IFERROR(MID(VLOOKUP($B263,Seqs!$A:$B,2,0),I263,1),"")</f>
        <v>R</v>
      </c>
      <c r="I263" s="23">
        <v>78</v>
      </c>
      <c r="J263" s="3" t="str">
        <f>IFERROR(MID(VLOOKUP($B263,Seqs!$A:$B,2,0),K263,1),"")</f>
        <v>H</v>
      </c>
      <c r="K263" s="23">
        <v>81</v>
      </c>
      <c r="L263" s="3" t="str">
        <f>IFERROR(MID(VLOOKUP($B263,Seqs!$A:$B,2,0),M263,1),"")</f>
        <v>F</v>
      </c>
      <c r="M263" s="3">
        <v>82</v>
      </c>
      <c r="N263" s="3" t="str">
        <f>IFERROR(MID(VLOOKUP($B263,Seqs!$A:$B,2,0),O263,1),"")</f>
        <v>N</v>
      </c>
      <c r="O263" s="3">
        <v>108</v>
      </c>
      <c r="P263" s="3" t="str">
        <f>IFERROR(MID(VLOOKUP($B263,Seqs!$A:$B,2,0),Q263,1),"")</f>
        <v>G</v>
      </c>
      <c r="Q263" s="3">
        <v>110</v>
      </c>
      <c r="R263" s="3" t="str">
        <f>IFERROR(MID(VLOOKUP($B263,Seqs!$A:$B,2,0),S263,1),"")</f>
        <v>L</v>
      </c>
      <c r="S263" s="3">
        <v>116</v>
      </c>
      <c r="T263" s="3" t="str">
        <f>IFERROR(MID(VLOOKUP($B263,Seqs!$A:$B,2,0),U263,1),"")</f>
        <v>T</v>
      </c>
      <c r="U263" s="3">
        <v>117</v>
      </c>
      <c r="V263" s="3" t="str">
        <f>IFERROR(MID(VLOOKUP($B263,Seqs!$A:$B,2,0),W263,1),"")</f>
        <v>R</v>
      </c>
      <c r="W263" s="3">
        <v>152</v>
      </c>
      <c r="X263" s="3" t="str">
        <f>IFERROR(MID(VLOOKUP($B263,Seqs!$A:$B,2,0),Y263,1),"")</f>
        <v>M</v>
      </c>
      <c r="Y263" s="3">
        <v>153</v>
      </c>
      <c r="Z263" s="3" t="str">
        <f>IFERROR(MID(VLOOKUP($B263,Seqs!$A:$B,2,0),AA263,1),"")</f>
        <v>M</v>
      </c>
      <c r="AA263" s="3">
        <v>159</v>
      </c>
      <c r="AB263" s="3" t="str">
        <f>IFERROR(MID(VLOOKUP($B263,Seqs!$A:$B,2,0),AC263,1),"")</f>
        <v>S</v>
      </c>
      <c r="AC263" s="3">
        <v>160</v>
      </c>
      <c r="AD263" s="3" t="str">
        <f>IFERROR(MID(VLOOKUP($B263,Seqs!$A:$B,2,0),AE263,1),"")</f>
        <v>G</v>
      </c>
      <c r="AE263" s="3">
        <v>185</v>
      </c>
      <c r="AF263" s="3" t="str">
        <f>IFERROR(MID(VLOOKUP($B263,Seqs!$A:$B,2,0),AG263,1),"")</f>
        <v/>
      </c>
      <c r="AG263" s="3" t="s">
        <v>23</v>
      </c>
      <c r="AH263" s="3" t="str">
        <f>IFERROR(MID(VLOOKUP($B263,Seqs!$A:$B,2,0),AI263,1),"")</f>
        <v/>
      </c>
      <c r="AI263" s="3" t="s">
        <v>23</v>
      </c>
      <c r="AJ263" s="3" t="str">
        <f>IFERROR(MID(VLOOKUP($B263,Seqs!$A:$B,2,0),AK263,1),"")</f>
        <v>S</v>
      </c>
      <c r="AK263" s="3">
        <v>203</v>
      </c>
      <c r="AL263" s="3" t="str">
        <f>IFERROR(MID(VLOOKUP($B263,Seqs!$A:$B,2,0),AM263,1),"")</f>
        <v>S</v>
      </c>
      <c r="AM263" s="3">
        <v>240</v>
      </c>
      <c r="AN263" s="3" t="str">
        <f>IFERROR(MID(VLOOKUP($B263,Seqs!$A:$B,2,0),AO263,1),"")</f>
        <v>G</v>
      </c>
      <c r="AO263" s="3">
        <v>245</v>
      </c>
      <c r="AP263" s="3" t="str">
        <f>IFERROR(MID(VLOOKUP($B263,Seqs!$A:$B,2,0),AQ263,1),"")</f>
        <v>C</v>
      </c>
      <c r="AQ263" s="3">
        <v>284</v>
      </c>
      <c r="AR263" s="3" t="str">
        <f>IFERROR(MID(VLOOKUP($B263,Seqs!$A:$B,2,0),AS263,1),"")</f>
        <v>D</v>
      </c>
      <c r="AS263" s="3">
        <v>288</v>
      </c>
      <c r="AT263" s="3" t="str">
        <f>IFERROR(MID(VLOOKUP($B263,Seqs!$A:$B,2,0),AU263,1),"")</f>
        <v>R</v>
      </c>
      <c r="AU263" s="3">
        <v>314</v>
      </c>
      <c r="AV263" s="3" t="str">
        <f>IFERROR(MID(VLOOKUP($B263,Seqs!$A:$B,2,0),AW263,1),"")</f>
        <v>D</v>
      </c>
      <c r="AW263" s="3">
        <v>315</v>
      </c>
      <c r="AX263" s="3" t="str">
        <f>IFERROR(MID(VLOOKUP($B263,Seqs!$A:$B,2,0),AY263,1),"")</f>
        <v>C</v>
      </c>
      <c r="AY263" s="3">
        <v>327</v>
      </c>
      <c r="AZ263" s="77" t="str">
        <f>VLOOKUP(B263,Classification!A:D,2,0)</f>
        <v>A</v>
      </c>
      <c r="BA263" s="94" t="str">
        <f>VLOOKUP(B263,Classification!A:D,4,0)</f>
        <v>Lysophospholipid(LPA)</v>
      </c>
      <c r="BB263" s="27" t="b">
        <f t="shared" ref="BB263:BB329" si="2291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si="2012"/>
        <v>257</v>
      </c>
      <c r="BD263" s="56" t="s">
        <v>23</v>
      </c>
      <c r="BE263" s="3" t="s">
        <v>23</v>
      </c>
      <c r="BF263" s="118" t="s">
        <v>23</v>
      </c>
      <c r="BG263" s="49" t="s">
        <v>1368</v>
      </c>
      <c r="BH263" s="49" t="s">
        <v>1373</v>
      </c>
      <c r="BI263" s="1"/>
      <c r="BJ263" s="70" t="s">
        <v>1283</v>
      </c>
      <c r="BK263" s="57" t="s">
        <v>1283</v>
      </c>
      <c r="BL263" s="57" t="s">
        <v>1283</v>
      </c>
      <c r="BM263" s="57" t="s">
        <v>1283</v>
      </c>
      <c r="BN263" s="57" t="s">
        <v>1283</v>
      </c>
      <c r="BO263" s="57" t="s">
        <v>1283</v>
      </c>
      <c r="BP263" s="57" t="s">
        <v>1283</v>
      </c>
      <c r="BQ263" s="57" t="s">
        <v>1283</v>
      </c>
      <c r="BR263" s="57" t="s">
        <v>1283</v>
      </c>
      <c r="BS263" s="57" t="s">
        <v>1283</v>
      </c>
      <c r="BT263" s="57" t="s">
        <v>1283</v>
      </c>
      <c r="BU263" s="57" t="s">
        <v>1283</v>
      </c>
      <c r="BV263" s="70">
        <f t="shared" si="2013"/>
        <v>47</v>
      </c>
      <c r="BW263" s="71">
        <f t="shared" si="2014"/>
        <v>78</v>
      </c>
      <c r="BX263" s="72">
        <f t="shared" si="2015"/>
        <v>82</v>
      </c>
      <c r="BY263" s="71">
        <f t="shared" si="2016"/>
        <v>110</v>
      </c>
      <c r="BZ263" s="72">
        <f t="shared" si="2017"/>
        <v>117</v>
      </c>
      <c r="CA263" s="71">
        <f t="shared" si="2018"/>
        <v>153</v>
      </c>
      <c r="CB263" s="72">
        <f t="shared" si="2019"/>
        <v>160</v>
      </c>
      <c r="CC263" s="71" t="str">
        <f t="shared" si="2020"/>
        <v>-</v>
      </c>
      <c r="CD263" s="72">
        <f t="shared" si="2021"/>
        <v>203</v>
      </c>
      <c r="CE263" s="71">
        <f t="shared" si="2022"/>
        <v>245</v>
      </c>
      <c r="CF263" s="72">
        <f t="shared" si="2023"/>
        <v>288</v>
      </c>
      <c r="CG263" s="71">
        <f t="shared" si="2024"/>
        <v>315</v>
      </c>
      <c r="CH263" s="70">
        <f t="shared" si="2025"/>
        <v>77</v>
      </c>
      <c r="CI263" s="71">
        <f t="shared" si="2026"/>
        <v>81</v>
      </c>
      <c r="CJ263" s="72">
        <f t="shared" si="2027"/>
        <v>108</v>
      </c>
      <c r="CK263" s="72">
        <f t="shared" si="2028"/>
        <v>116</v>
      </c>
      <c r="CL263" s="72">
        <f t="shared" si="2029"/>
        <v>152</v>
      </c>
      <c r="CM263" s="72">
        <f t="shared" si="2030"/>
        <v>159</v>
      </c>
      <c r="CN263" s="72">
        <f t="shared" si="2031"/>
        <v>185</v>
      </c>
      <c r="CO263" s="72" t="str">
        <f t="shared" si="2032"/>
        <v>-</v>
      </c>
      <c r="CP263" s="72">
        <f t="shared" si="2033"/>
        <v>240</v>
      </c>
      <c r="CQ263" s="72">
        <f t="shared" si="2034"/>
        <v>284</v>
      </c>
      <c r="CR263" s="72">
        <f t="shared" si="2035"/>
        <v>314</v>
      </c>
      <c r="CS263" s="72">
        <f t="shared" si="2036"/>
        <v>327</v>
      </c>
      <c r="CT263" s="23">
        <f t="shared" si="2037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2290"/>
        <v>lpar1_human_4Z34</v>
      </c>
      <c r="B264" s="3" t="s">
        <v>103</v>
      </c>
      <c r="C264" s="3" t="s">
        <v>1052</v>
      </c>
      <c r="D264" s="3" t="str">
        <f>IFERROR(MID(VLOOKUP($B264,Seqs!$A:$B,2,0),E264,1),"")</f>
        <v>T</v>
      </c>
      <c r="E264" s="3">
        <v>47</v>
      </c>
      <c r="F264" s="3" t="str">
        <f>IFERROR(MID(VLOOKUP($B264,Seqs!$A:$B,2,0),G264,1),"")</f>
        <v>N</v>
      </c>
      <c r="G264" s="3">
        <v>77</v>
      </c>
      <c r="H264" s="3" t="str">
        <f>IFERROR(MID(VLOOKUP($B264,Seqs!$A:$B,2,0),I264,1),"")</f>
        <v>R</v>
      </c>
      <c r="I264" s="23">
        <v>78</v>
      </c>
      <c r="J264" s="3" t="str">
        <f>IFERROR(MID(VLOOKUP($B264,Seqs!$A:$B,2,0),K264,1),"")</f>
        <v>H</v>
      </c>
      <c r="K264" s="23">
        <v>81</v>
      </c>
      <c r="L264" s="3" t="str">
        <f>IFERROR(MID(VLOOKUP($B264,Seqs!$A:$B,2,0),M264,1),"")</f>
        <v>F</v>
      </c>
      <c r="M264" s="3">
        <v>82</v>
      </c>
      <c r="N264" s="3" t="str">
        <f>IFERROR(MID(VLOOKUP($B264,Seqs!$A:$B,2,0),O264,1),"")</f>
        <v>N</v>
      </c>
      <c r="O264" s="3">
        <v>108</v>
      </c>
      <c r="P264" s="3" t="str">
        <f>IFERROR(MID(VLOOKUP($B264,Seqs!$A:$B,2,0),Q264,1),"")</f>
        <v>G</v>
      </c>
      <c r="Q264" s="3">
        <v>110</v>
      </c>
      <c r="R264" s="3" t="str">
        <f>IFERROR(MID(VLOOKUP($B264,Seqs!$A:$B,2,0),S264,1),"")</f>
        <v>L</v>
      </c>
      <c r="S264" s="3">
        <v>116</v>
      </c>
      <c r="T264" s="3" t="str">
        <f>IFERROR(MID(VLOOKUP($B264,Seqs!$A:$B,2,0),U264,1),"")</f>
        <v>T</v>
      </c>
      <c r="U264" s="3">
        <v>117</v>
      </c>
      <c r="V264" s="3" t="str">
        <f>IFERROR(MID(VLOOKUP($B264,Seqs!$A:$B,2,0),W264,1),"")</f>
        <v>R</v>
      </c>
      <c r="W264" s="3">
        <v>152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T</v>
      </c>
      <c r="AC264" s="3">
        <v>157</v>
      </c>
      <c r="AD264" s="3" t="str">
        <f>IFERROR(MID(VLOOKUP($B264,Seqs!$A:$B,2,0),AE264,1),"")</f>
        <v>G</v>
      </c>
      <c r="AE264" s="3">
        <v>185</v>
      </c>
      <c r="AF264" s="3" t="str">
        <f>IFERROR(MID(VLOOKUP($B264,Seqs!$A:$B,2,0),AG264,1),"")</f>
        <v/>
      </c>
      <c r="AG264" s="3" t="s">
        <v>23</v>
      </c>
      <c r="AH264" s="3" t="str">
        <f>IFERROR(MID(VLOOKUP($B264,Seqs!$A:$B,2,0),AI264,1),"")</f>
        <v/>
      </c>
      <c r="AI264" s="3" t="s">
        <v>23</v>
      </c>
      <c r="AJ264" s="3" t="str">
        <f>IFERROR(MID(VLOOKUP($B264,Seqs!$A:$B,2,0),AK264,1),"")</f>
        <v>S</v>
      </c>
      <c r="AK264" s="3">
        <v>203</v>
      </c>
      <c r="AL264" s="3" t="str">
        <f>IFERROR(MID(VLOOKUP($B264,Seqs!$A:$B,2,0),AM264,1),"")</f>
        <v>R</v>
      </c>
      <c r="AM264" s="3">
        <v>235</v>
      </c>
      <c r="AN264" s="3" t="str">
        <f>IFERROR(MID(VLOOKUP($B264,Seqs!$A:$B,2,0),AO264,1),"")</f>
        <v>G</v>
      </c>
      <c r="AO264" s="3">
        <v>245</v>
      </c>
      <c r="AP264" s="3" t="str">
        <f>IFERROR(MID(VLOOKUP($B264,Seqs!$A:$B,2,0),AQ264,1),"")</f>
        <v>C</v>
      </c>
      <c r="AQ264" s="3">
        <v>284</v>
      </c>
      <c r="AR264" s="3" t="str">
        <f>IFERROR(MID(VLOOKUP($B264,Seqs!$A:$B,2,0),AS264,1),"")</f>
        <v>E</v>
      </c>
      <c r="AS264" s="3">
        <v>293</v>
      </c>
      <c r="AT264" s="3" t="str">
        <f>IFERROR(MID(VLOOKUP($B264,Seqs!$A:$B,2,0),AU264,1),"")</f>
        <v>R</v>
      </c>
      <c r="AU264" s="3">
        <v>314</v>
      </c>
      <c r="AV264" s="3" t="str">
        <f>IFERROR(MID(VLOOKUP($B264,Seqs!$A:$B,2,0),AW264,1),"")</f>
        <v>D</v>
      </c>
      <c r="AW264" s="3">
        <v>315</v>
      </c>
      <c r="AX264" s="3" t="str">
        <f>IFERROR(MID(VLOOKUP($B264,Seqs!$A:$B,2,0),AY264,1),"")</f>
        <v>C</v>
      </c>
      <c r="AY264" s="3">
        <v>327</v>
      </c>
      <c r="AZ264" s="77" t="str">
        <f>VLOOKUP(B264,Classification!A:D,2,0)</f>
        <v>A</v>
      </c>
      <c r="BA264" s="94" t="str">
        <f>VLOOKUP(B264,Classification!A:D,4,0)</f>
        <v>Lysophospholipid(LPA)</v>
      </c>
      <c r="BB264" s="27" t="b">
        <f t="shared" si="2291"/>
        <v>1</v>
      </c>
      <c r="BC264" s="23">
        <f t="shared" si="2012"/>
        <v>244</v>
      </c>
      <c r="BD264" s="16" t="s">
        <v>23</v>
      </c>
      <c r="BE264" s="3" t="s">
        <v>1370</v>
      </c>
      <c r="BF264" s="118">
        <v>3</v>
      </c>
      <c r="BG264" s="49" t="s">
        <v>1373</v>
      </c>
      <c r="BH264" s="49" t="s">
        <v>1373</v>
      </c>
      <c r="BI264" s="1"/>
      <c r="BJ264" s="70" t="s">
        <v>1283</v>
      </c>
      <c r="BK264" s="57" t="s">
        <v>1283</v>
      </c>
      <c r="BL264" s="57" t="s">
        <v>1283</v>
      </c>
      <c r="BM264" s="57" t="s">
        <v>1283</v>
      </c>
      <c r="BN264" s="57" t="s">
        <v>1283</v>
      </c>
      <c r="BO264" s="57" t="s">
        <v>1283</v>
      </c>
      <c r="BP264" s="57" t="s">
        <v>1283</v>
      </c>
      <c r="BQ264" s="57" t="s">
        <v>1283</v>
      </c>
      <c r="BR264" s="57" t="s">
        <v>1283</v>
      </c>
      <c r="BS264" s="57" t="s">
        <v>1283</v>
      </c>
      <c r="BT264" s="57" t="s">
        <v>1283</v>
      </c>
      <c r="BU264" s="57" t="s">
        <v>1283</v>
      </c>
      <c r="BV264" s="70">
        <f t="shared" si="2013"/>
        <v>47</v>
      </c>
      <c r="BW264" s="71">
        <f t="shared" si="2014"/>
        <v>78</v>
      </c>
      <c r="BX264" s="72">
        <f t="shared" si="2015"/>
        <v>82</v>
      </c>
      <c r="BY264" s="71">
        <f t="shared" si="2016"/>
        <v>110</v>
      </c>
      <c r="BZ264" s="72">
        <f t="shared" si="2017"/>
        <v>117</v>
      </c>
      <c r="CA264" s="71" t="str">
        <f t="shared" si="2018"/>
        <v>-</v>
      </c>
      <c r="CB264" s="72">
        <f t="shared" si="2019"/>
        <v>157</v>
      </c>
      <c r="CC264" s="71" t="str">
        <f t="shared" si="2020"/>
        <v>-</v>
      </c>
      <c r="CD264" s="72">
        <f t="shared" si="2021"/>
        <v>203</v>
      </c>
      <c r="CE264" s="71">
        <f t="shared" si="2022"/>
        <v>245</v>
      </c>
      <c r="CF264" s="72">
        <f t="shared" si="2023"/>
        <v>293</v>
      </c>
      <c r="CG264" s="71">
        <f t="shared" si="2024"/>
        <v>315</v>
      </c>
      <c r="CH264" s="70">
        <f t="shared" si="2025"/>
        <v>77</v>
      </c>
      <c r="CI264" s="71">
        <f t="shared" si="2026"/>
        <v>81</v>
      </c>
      <c r="CJ264" s="72">
        <f t="shared" si="2027"/>
        <v>108</v>
      </c>
      <c r="CK264" s="72">
        <f t="shared" si="2028"/>
        <v>116</v>
      </c>
      <c r="CL264" s="72">
        <f t="shared" si="2029"/>
        <v>152</v>
      </c>
      <c r="CM264" s="72" t="str">
        <f t="shared" si="2030"/>
        <v>-</v>
      </c>
      <c r="CN264" s="72">
        <f t="shared" si="2031"/>
        <v>185</v>
      </c>
      <c r="CO264" s="72" t="str">
        <f t="shared" si="2032"/>
        <v>-</v>
      </c>
      <c r="CP264" s="72">
        <f t="shared" si="2033"/>
        <v>235</v>
      </c>
      <c r="CQ264" s="72">
        <f t="shared" si="2034"/>
        <v>284</v>
      </c>
      <c r="CR264" s="72">
        <f t="shared" si="2035"/>
        <v>314</v>
      </c>
      <c r="CS264" s="72">
        <f t="shared" si="2036"/>
        <v>327</v>
      </c>
      <c r="CT264" s="23">
        <f t="shared" si="2037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2290"/>
        <v>lpar1_human_4Z35</v>
      </c>
      <c r="B265" s="3" t="s">
        <v>103</v>
      </c>
      <c r="C265" s="3" t="s">
        <v>89</v>
      </c>
      <c r="D265" s="3" t="str">
        <f>IFERROR(MID(VLOOKUP($B265,Seqs!$A:$B,2,0),E265,1),"")</f>
        <v>T</v>
      </c>
      <c r="E265" s="3">
        <v>47</v>
      </c>
      <c r="F265" s="3" t="str">
        <f>IFERROR(MID(VLOOKUP($B265,Seqs!$A:$B,2,0),G265,1),"")</f>
        <v>N</v>
      </c>
      <c r="G265" s="3">
        <v>77</v>
      </c>
      <c r="H265" s="3" t="str">
        <f>IFERROR(MID(VLOOKUP($B265,Seqs!$A:$B,2,0),I265,1),"")</f>
        <v>R</v>
      </c>
      <c r="I265" s="23">
        <v>78</v>
      </c>
      <c r="J265" s="3" t="str">
        <f>IFERROR(MID(VLOOKUP($B265,Seqs!$A:$B,2,0),K265,1),"")</f>
        <v>H</v>
      </c>
      <c r="K265" s="23">
        <v>81</v>
      </c>
      <c r="L265" s="3" t="str">
        <f>IFERROR(MID(VLOOKUP($B265,Seqs!$A:$B,2,0),M265,1),"")</f>
        <v>F</v>
      </c>
      <c r="M265" s="3">
        <v>82</v>
      </c>
      <c r="N265" s="3" t="str">
        <f>IFERROR(MID(VLOOKUP($B265,Seqs!$A:$B,2,0),O265,1),"")</f>
        <v>N</v>
      </c>
      <c r="O265" s="3">
        <v>108</v>
      </c>
      <c r="P265" s="3" t="str">
        <f>IFERROR(MID(VLOOKUP($B265,Seqs!$A:$B,2,0),Q265,1),"")</f>
        <v>G</v>
      </c>
      <c r="Q265" s="3">
        <v>110</v>
      </c>
      <c r="R265" s="3" t="str">
        <f>IFERROR(MID(VLOOKUP($B265,Seqs!$A:$B,2,0),S265,1),"")</f>
        <v>L</v>
      </c>
      <c r="S265" s="3">
        <v>116</v>
      </c>
      <c r="T265" s="3" t="str">
        <f>IFERROR(MID(VLOOKUP($B265,Seqs!$A:$B,2,0),U265,1),"")</f>
        <v>T</v>
      </c>
      <c r="U265" s="3">
        <v>117</v>
      </c>
      <c r="V265" s="3" t="str">
        <f>IFERROR(MID(VLOOKUP($B265,Seqs!$A:$B,2,0),W265,1),"")</f>
        <v>R</v>
      </c>
      <c r="W265" s="3">
        <v>152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T</v>
      </c>
      <c r="AC265" s="3">
        <v>157</v>
      </c>
      <c r="AD265" s="3" t="str">
        <f>IFERROR(MID(VLOOKUP($B265,Seqs!$A:$B,2,0),AE265,1),"")</f>
        <v>G</v>
      </c>
      <c r="AE265" s="3">
        <v>185</v>
      </c>
      <c r="AF265" s="3" t="str">
        <f>IFERROR(MID(VLOOKUP($B265,Seqs!$A:$B,2,0),AG265,1),"")</f>
        <v/>
      </c>
      <c r="AG265" s="3" t="s">
        <v>23</v>
      </c>
      <c r="AH265" s="3" t="str">
        <f>IFERROR(MID(VLOOKUP($B265,Seqs!$A:$B,2,0),AI265,1),"")</f>
        <v/>
      </c>
      <c r="AI265" s="3" t="s">
        <v>23</v>
      </c>
      <c r="AJ265" s="3" t="str">
        <f>IFERROR(MID(VLOOKUP($B265,Seqs!$A:$B,2,0),AK265,1),"")</f>
        <v>S</v>
      </c>
      <c r="AK265" s="3">
        <v>203</v>
      </c>
      <c r="AL265" s="3" t="str">
        <f>IFERROR(MID(VLOOKUP($B265,Seqs!$A:$B,2,0),AM265,1),"")</f>
        <v>R</v>
      </c>
      <c r="AM265" s="3">
        <v>235</v>
      </c>
      <c r="AN265" s="3" t="str">
        <f>IFERROR(MID(VLOOKUP($B265,Seqs!$A:$B,2,0),AO265,1),"")</f>
        <v>G</v>
      </c>
      <c r="AO265" s="3">
        <v>245</v>
      </c>
      <c r="AP265" s="3" t="str">
        <f>IFERROR(MID(VLOOKUP($B265,Seqs!$A:$B,2,0),AQ265,1),"")</f>
        <v>C</v>
      </c>
      <c r="AQ265" s="3">
        <v>284</v>
      </c>
      <c r="AR265" s="3" t="str">
        <f>IFERROR(MID(VLOOKUP($B265,Seqs!$A:$B,2,0),AS265,1),"")</f>
        <v>E</v>
      </c>
      <c r="AS265" s="3">
        <v>293</v>
      </c>
      <c r="AT265" s="3" t="str">
        <f>IFERROR(MID(VLOOKUP($B265,Seqs!$A:$B,2,0),AU265,1),"")</f>
        <v>R</v>
      </c>
      <c r="AU265" s="3">
        <v>314</v>
      </c>
      <c r="AV265" s="3" t="str">
        <f>IFERROR(MID(VLOOKUP($B265,Seqs!$A:$B,2,0),AW265,1),"")</f>
        <v>D</v>
      </c>
      <c r="AW265" s="3">
        <v>315</v>
      </c>
      <c r="AX265" s="3" t="str">
        <f>IFERROR(MID(VLOOKUP($B265,Seqs!$A:$B,2,0),AY265,1),"")</f>
        <v>C</v>
      </c>
      <c r="AY265" s="3">
        <v>327</v>
      </c>
      <c r="AZ265" s="77" t="str">
        <f>VLOOKUP(B265,Classification!A:D,2,0)</f>
        <v>A</v>
      </c>
      <c r="BA265" s="94" t="str">
        <f>VLOOKUP(B265,Classification!A:D,4,0)</f>
        <v>Lysophospholipid(LPA)</v>
      </c>
      <c r="BB265" s="27" t="b">
        <f t="shared" si="2291"/>
        <v>1</v>
      </c>
      <c r="BC265" s="23">
        <f t="shared" si="2012"/>
        <v>244</v>
      </c>
      <c r="BD265" s="5" t="s">
        <v>1372</v>
      </c>
      <c r="BE265" s="3" t="s">
        <v>1370</v>
      </c>
      <c r="BF265" s="118">
        <v>2.9</v>
      </c>
      <c r="BG265" s="49" t="s">
        <v>1373</v>
      </c>
      <c r="BH265" s="49" t="s">
        <v>1373</v>
      </c>
      <c r="BI265" s="1"/>
      <c r="BJ265" s="70" t="s">
        <v>1283</v>
      </c>
      <c r="BK265" s="57" t="s">
        <v>1283</v>
      </c>
      <c r="BL265" s="57" t="s">
        <v>1283</v>
      </c>
      <c r="BM265" s="57" t="s">
        <v>1283</v>
      </c>
      <c r="BN265" s="57" t="s">
        <v>1283</v>
      </c>
      <c r="BO265" s="57" t="s">
        <v>1283</v>
      </c>
      <c r="BP265" s="57" t="s">
        <v>1283</v>
      </c>
      <c r="BQ265" s="57" t="s">
        <v>1283</v>
      </c>
      <c r="BR265" s="57" t="s">
        <v>1283</v>
      </c>
      <c r="BS265" s="57" t="s">
        <v>1283</v>
      </c>
      <c r="BT265" s="57" t="s">
        <v>1283</v>
      </c>
      <c r="BU265" s="57" t="s">
        <v>1283</v>
      </c>
      <c r="BV265" s="70">
        <f t="shared" si="2013"/>
        <v>47</v>
      </c>
      <c r="BW265" s="71">
        <f t="shared" si="2014"/>
        <v>78</v>
      </c>
      <c r="BX265" s="72">
        <f t="shared" si="2015"/>
        <v>82</v>
      </c>
      <c r="BY265" s="71">
        <f t="shared" si="2016"/>
        <v>110</v>
      </c>
      <c r="BZ265" s="72">
        <f t="shared" si="2017"/>
        <v>117</v>
      </c>
      <c r="CA265" s="71" t="str">
        <f t="shared" si="2018"/>
        <v>-</v>
      </c>
      <c r="CB265" s="72">
        <f t="shared" si="2019"/>
        <v>157</v>
      </c>
      <c r="CC265" s="71" t="str">
        <f t="shared" si="2020"/>
        <v>-</v>
      </c>
      <c r="CD265" s="72">
        <f t="shared" si="2021"/>
        <v>203</v>
      </c>
      <c r="CE265" s="71">
        <f t="shared" si="2022"/>
        <v>245</v>
      </c>
      <c r="CF265" s="72">
        <f t="shared" si="2023"/>
        <v>293</v>
      </c>
      <c r="CG265" s="71">
        <f t="shared" si="2024"/>
        <v>315</v>
      </c>
      <c r="CH265" s="70">
        <f t="shared" si="2025"/>
        <v>77</v>
      </c>
      <c r="CI265" s="71">
        <f t="shared" si="2026"/>
        <v>81</v>
      </c>
      <c r="CJ265" s="72">
        <f t="shared" si="2027"/>
        <v>108</v>
      </c>
      <c r="CK265" s="72">
        <f t="shared" si="2028"/>
        <v>116</v>
      </c>
      <c r="CL265" s="72">
        <f t="shared" si="2029"/>
        <v>152</v>
      </c>
      <c r="CM265" s="72" t="str">
        <f t="shared" si="2030"/>
        <v>-</v>
      </c>
      <c r="CN265" s="72">
        <f t="shared" si="2031"/>
        <v>185</v>
      </c>
      <c r="CO265" s="72" t="str">
        <f t="shared" si="2032"/>
        <v>-</v>
      </c>
      <c r="CP265" s="72">
        <f t="shared" si="2033"/>
        <v>235</v>
      </c>
      <c r="CQ265" s="72">
        <f t="shared" si="2034"/>
        <v>284</v>
      </c>
      <c r="CR265" s="72">
        <f t="shared" si="2035"/>
        <v>314</v>
      </c>
      <c r="CS265" s="72">
        <f t="shared" si="2036"/>
        <v>327</v>
      </c>
      <c r="CT265" s="23">
        <f t="shared" si="2037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2290"/>
        <v>lpar1_human_4Z36</v>
      </c>
      <c r="B266" s="3" t="s">
        <v>103</v>
      </c>
      <c r="C266" s="3" t="s">
        <v>1053</v>
      </c>
      <c r="D266" s="3" t="str">
        <f>IFERROR(MID(VLOOKUP($B266,Seqs!$A:$B,2,0),E266,1),"")</f>
        <v>T</v>
      </c>
      <c r="E266" s="3">
        <v>47</v>
      </c>
      <c r="F266" s="3" t="str">
        <f>IFERROR(MID(VLOOKUP($B266,Seqs!$A:$B,2,0),G266,1),"")</f>
        <v>N</v>
      </c>
      <c r="G266" s="3">
        <v>77</v>
      </c>
      <c r="H266" s="3" t="str">
        <f>IFERROR(MID(VLOOKUP($B266,Seqs!$A:$B,2,0),I266,1),"")</f>
        <v>R</v>
      </c>
      <c r="I266" s="23">
        <v>78</v>
      </c>
      <c r="J266" s="3" t="str">
        <f>IFERROR(MID(VLOOKUP($B266,Seqs!$A:$B,2,0),K266,1),"")</f>
        <v>H</v>
      </c>
      <c r="K266" s="23">
        <v>81</v>
      </c>
      <c r="L266" s="3" t="str">
        <f>IFERROR(MID(VLOOKUP($B266,Seqs!$A:$B,2,0),M266,1),"")</f>
        <v>F</v>
      </c>
      <c r="M266" s="3">
        <v>82</v>
      </c>
      <c r="N266" s="3" t="str">
        <f>IFERROR(MID(VLOOKUP($B266,Seqs!$A:$B,2,0),O266,1),"")</f>
        <v>N</v>
      </c>
      <c r="O266" s="3">
        <v>108</v>
      </c>
      <c r="P266" s="3" t="str">
        <f>IFERROR(MID(VLOOKUP($B266,Seqs!$A:$B,2,0),Q266,1),"")</f>
        <v>G</v>
      </c>
      <c r="Q266" s="3">
        <v>110</v>
      </c>
      <c r="R266" s="3" t="str">
        <f>IFERROR(MID(VLOOKUP($B266,Seqs!$A:$B,2,0),S266,1),"")</f>
        <v>L</v>
      </c>
      <c r="S266" s="3">
        <v>116</v>
      </c>
      <c r="T266" s="3" t="str">
        <f>IFERROR(MID(VLOOKUP($B266,Seqs!$A:$B,2,0),U266,1),"")</f>
        <v>T</v>
      </c>
      <c r="U266" s="3">
        <v>117</v>
      </c>
      <c r="V266" s="3" t="str">
        <f>IFERROR(MID(VLOOKUP($B266,Seqs!$A:$B,2,0),W266,1),"")</f>
        <v>R</v>
      </c>
      <c r="W266" s="3">
        <v>152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T</v>
      </c>
      <c r="AC266" s="3">
        <v>157</v>
      </c>
      <c r="AD266" s="3" t="str">
        <f>IFERROR(MID(VLOOKUP($B266,Seqs!$A:$B,2,0),AE266,1),"")</f>
        <v>G</v>
      </c>
      <c r="AE266" s="3">
        <v>185</v>
      </c>
      <c r="AF266" s="3" t="str">
        <f>IFERROR(MID(VLOOKUP($B266,Seqs!$A:$B,2,0),AG266,1),"")</f>
        <v/>
      </c>
      <c r="AG266" s="3" t="s">
        <v>23</v>
      </c>
      <c r="AH266" s="3" t="str">
        <f>IFERROR(MID(VLOOKUP($B266,Seqs!$A:$B,2,0),AI266,1),"")</f>
        <v/>
      </c>
      <c r="AI266" s="3" t="s">
        <v>23</v>
      </c>
      <c r="AJ266" s="3" t="str">
        <f>IFERROR(MID(VLOOKUP($B266,Seqs!$A:$B,2,0),AK266,1),"")</f>
        <v>S</v>
      </c>
      <c r="AK266" s="3">
        <v>203</v>
      </c>
      <c r="AL266" s="3" t="str">
        <f>IFERROR(MID(VLOOKUP($B266,Seqs!$A:$B,2,0),AM266,1),"")</f>
        <v>R</v>
      </c>
      <c r="AM266" s="3">
        <v>235</v>
      </c>
      <c r="AN266" s="3" t="str">
        <f>IFERROR(MID(VLOOKUP($B266,Seqs!$A:$B,2,0),AO266,1),"")</f>
        <v>G</v>
      </c>
      <c r="AO266" s="3">
        <v>245</v>
      </c>
      <c r="AP266" s="3" t="str">
        <f>IFERROR(MID(VLOOKUP($B266,Seqs!$A:$B,2,0),AQ266,1),"")</f>
        <v>C</v>
      </c>
      <c r="AQ266" s="3">
        <v>284</v>
      </c>
      <c r="AR266" s="3" t="str">
        <f>IFERROR(MID(VLOOKUP($B266,Seqs!$A:$B,2,0),AS266,1),"")</f>
        <v>E</v>
      </c>
      <c r="AS266" s="3">
        <v>293</v>
      </c>
      <c r="AT266" s="3" t="str">
        <f>IFERROR(MID(VLOOKUP($B266,Seqs!$A:$B,2,0),AU266,1),"")</f>
        <v>R</v>
      </c>
      <c r="AU266" s="3">
        <v>314</v>
      </c>
      <c r="AV266" s="3" t="str">
        <f>IFERROR(MID(VLOOKUP($B266,Seqs!$A:$B,2,0),AW266,1),"")</f>
        <v>D</v>
      </c>
      <c r="AW266" s="3">
        <v>315</v>
      </c>
      <c r="AX266" s="3" t="str">
        <f>IFERROR(MID(VLOOKUP($B266,Seqs!$A:$B,2,0),AY266,1),"")</f>
        <v>C</v>
      </c>
      <c r="AY266" s="3">
        <v>327</v>
      </c>
      <c r="AZ266" s="77" t="str">
        <f>VLOOKUP(B266,Classification!A:D,2,0)</f>
        <v>A</v>
      </c>
      <c r="BA266" s="94" t="str">
        <f>VLOOKUP(B266,Classification!A:D,4,0)</f>
        <v>Lysophospholipid(LPA)</v>
      </c>
      <c r="BB266" s="27" t="b">
        <f t="shared" si="2291"/>
        <v>1</v>
      </c>
      <c r="BC266" s="23">
        <f t="shared" si="2012"/>
        <v>244</v>
      </c>
      <c r="BD266" s="5" t="s">
        <v>23</v>
      </c>
      <c r="BE266" s="3" t="s">
        <v>1370</v>
      </c>
      <c r="BF266" s="118">
        <v>2.9</v>
      </c>
      <c r="BG266" s="49" t="s">
        <v>1373</v>
      </c>
      <c r="BH266" s="49" t="s">
        <v>1373</v>
      </c>
      <c r="BI266" s="1"/>
      <c r="BJ266" s="70" t="s">
        <v>1283</v>
      </c>
      <c r="BK266" s="57" t="s">
        <v>1283</v>
      </c>
      <c r="BL266" s="57" t="s">
        <v>1283</v>
      </c>
      <c r="BM266" s="57" t="s">
        <v>1283</v>
      </c>
      <c r="BN266" s="57" t="s">
        <v>1283</v>
      </c>
      <c r="BO266" s="57" t="s">
        <v>1283</v>
      </c>
      <c r="BP266" s="57" t="s">
        <v>1283</v>
      </c>
      <c r="BQ266" s="57" t="s">
        <v>1283</v>
      </c>
      <c r="BR266" s="57" t="s">
        <v>1283</v>
      </c>
      <c r="BS266" s="57" t="s">
        <v>1283</v>
      </c>
      <c r="BT266" s="57" t="s">
        <v>1283</v>
      </c>
      <c r="BU266" s="57" t="s">
        <v>1283</v>
      </c>
      <c r="BV266" s="70">
        <f t="shared" si="2013"/>
        <v>47</v>
      </c>
      <c r="BW266" s="71">
        <f t="shared" si="2014"/>
        <v>78</v>
      </c>
      <c r="BX266" s="72">
        <f t="shared" si="2015"/>
        <v>82</v>
      </c>
      <c r="BY266" s="71">
        <f t="shared" si="2016"/>
        <v>110</v>
      </c>
      <c r="BZ266" s="72">
        <f t="shared" si="2017"/>
        <v>117</v>
      </c>
      <c r="CA266" s="71" t="str">
        <f t="shared" si="2018"/>
        <v>-</v>
      </c>
      <c r="CB266" s="72">
        <f t="shared" si="2019"/>
        <v>157</v>
      </c>
      <c r="CC266" s="71" t="str">
        <f t="shared" si="2020"/>
        <v>-</v>
      </c>
      <c r="CD266" s="72">
        <f t="shared" si="2021"/>
        <v>203</v>
      </c>
      <c r="CE266" s="71">
        <f t="shared" si="2022"/>
        <v>245</v>
      </c>
      <c r="CF266" s="72">
        <f t="shared" si="2023"/>
        <v>293</v>
      </c>
      <c r="CG266" s="71">
        <f t="shared" si="2024"/>
        <v>315</v>
      </c>
      <c r="CH266" s="70">
        <f t="shared" si="2025"/>
        <v>77</v>
      </c>
      <c r="CI266" s="71">
        <f t="shared" si="2026"/>
        <v>81</v>
      </c>
      <c r="CJ266" s="72">
        <f t="shared" si="2027"/>
        <v>108</v>
      </c>
      <c r="CK266" s="72">
        <f t="shared" si="2028"/>
        <v>116</v>
      </c>
      <c r="CL266" s="72">
        <f t="shared" si="2029"/>
        <v>152</v>
      </c>
      <c r="CM266" s="72" t="str">
        <f t="shared" si="2030"/>
        <v>-</v>
      </c>
      <c r="CN266" s="72">
        <f t="shared" si="2031"/>
        <v>185</v>
      </c>
      <c r="CO266" s="72" t="str">
        <f t="shared" si="2032"/>
        <v>-</v>
      </c>
      <c r="CP266" s="72">
        <f t="shared" si="2033"/>
        <v>235</v>
      </c>
      <c r="CQ266" s="72">
        <f t="shared" si="2034"/>
        <v>284</v>
      </c>
      <c r="CR266" s="72">
        <f t="shared" si="2035"/>
        <v>314</v>
      </c>
      <c r="CS266" s="72">
        <f t="shared" si="2036"/>
        <v>327</v>
      </c>
      <c r="CT266" s="23">
        <f t="shared" si="2037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s="12" customFormat="1" x14ac:dyDescent="0.2">
      <c r="A267" s="9" t="str">
        <f t="shared" ref="A267:A268" si="2292">CONCATENATE(B267,"_",C267)</f>
        <v>mc4r_human__wt</v>
      </c>
      <c r="B267" s="9" t="s">
        <v>296</v>
      </c>
      <c r="C267" s="9" t="s">
        <v>100</v>
      </c>
      <c r="D267" s="9" t="str">
        <f>IFERROR(MID(VLOOKUP($B267,Seqs!$A:$B,2,0),E267,1),"")</f>
        <v>S</v>
      </c>
      <c r="E267" s="9">
        <v>47</v>
      </c>
      <c r="F267" s="9" t="str">
        <f>IFERROR(MID(VLOOKUP($B267,Seqs!$A:$B,2,0),G267,1),"")</f>
        <v>N</v>
      </c>
      <c r="G267" s="9">
        <v>72</v>
      </c>
      <c r="H267" s="9" t="str">
        <f>IFERROR(MID(VLOOKUP($B267,Seqs!$A:$B,2,0),I267,1),"")</f>
        <v>K</v>
      </c>
      <c r="I267" s="109">
        <v>73</v>
      </c>
      <c r="J267" s="9" t="str">
        <f>IFERROR(MID(VLOOKUP($B267,Seqs!$A:$B,2,0),K267,1),"")</f>
        <v>H</v>
      </c>
      <c r="K267" s="109">
        <v>76</v>
      </c>
      <c r="L267" s="9" t="str">
        <f>IFERROR(MID(VLOOKUP($B267,Seqs!$A:$B,2,0),M267,1),"")</f>
        <v>S</v>
      </c>
      <c r="M267" s="9">
        <v>77</v>
      </c>
      <c r="N267" s="9" t="str">
        <f>IFERROR(MID(VLOOKUP($B267,Seqs!$A:$B,2,0),O267,1),"")</f>
        <v>L</v>
      </c>
      <c r="O267" s="9">
        <v>107</v>
      </c>
      <c r="P267" s="9" t="str">
        <f>IFERROR(MID(VLOOKUP($B267,Seqs!$A:$B,2,0),Q267,1),"")</f>
        <v/>
      </c>
      <c r="Q267" s="9" t="s">
        <v>23</v>
      </c>
      <c r="R267" s="9" t="str">
        <f>IFERROR(MID(VLOOKUP($B267,Seqs!$A:$B,2,0),S267,1),"")</f>
        <v/>
      </c>
      <c r="S267" s="9" t="s">
        <v>23</v>
      </c>
      <c r="T267" s="9" t="str">
        <f>IFERROR(MID(VLOOKUP($B267,Seqs!$A:$B,2,0),U267,1),"")</f>
        <v>Q</v>
      </c>
      <c r="U267" s="9">
        <v>115</v>
      </c>
      <c r="V267" s="9" t="str">
        <f>IFERROR(MID(VLOOKUP($B267,Seqs!$A:$B,2,0),W267,1),"")</f>
        <v>Y</v>
      </c>
      <c r="W267" s="9">
        <v>153</v>
      </c>
      <c r="X267" s="9" t="str">
        <f>IFERROR(MID(VLOOKUP($B267,Seqs!$A:$B,2,0),Y267,1),"")</f>
        <v>A</v>
      </c>
      <c r="Y267" s="9">
        <v>154</v>
      </c>
      <c r="Z267" s="9" t="str">
        <f>IFERROR(MID(VLOOKUP($B267,Seqs!$A:$B,2,0),AA267,1),"")</f>
        <v>M</v>
      </c>
      <c r="AA267" s="9">
        <v>161</v>
      </c>
      <c r="AB267" s="9" t="str">
        <f>IFERROR(MID(VLOOKUP($B267,Seqs!$A:$B,2,0),AC267,1),"")</f>
        <v>T</v>
      </c>
      <c r="AC267" s="9">
        <v>162</v>
      </c>
      <c r="AD267" s="9" t="str">
        <f>IFERROR(MID(VLOOKUP($B267,Seqs!$A:$B,2,0),AE267,1),"")</f>
        <v>S</v>
      </c>
      <c r="AE267" s="9">
        <v>188</v>
      </c>
      <c r="AF267" s="9" t="str">
        <f>IFERROR(MID(VLOOKUP($B267,Seqs!$A:$B,2,0),AG267,1),"")</f>
        <v/>
      </c>
      <c r="AG267" s="9" t="s">
        <v>23</v>
      </c>
      <c r="AH267" s="9" t="str">
        <f>IFERROR(MID(VLOOKUP($B267,Seqs!$A:$B,2,0),AI267,1),"")</f>
        <v/>
      </c>
      <c r="AI267" s="9" t="s">
        <v>23</v>
      </c>
      <c r="AJ267" s="9" t="str">
        <f>IFERROR(MID(VLOOKUP($B267,Seqs!$A:$B,2,0),AK267,1),"")</f>
        <v>S</v>
      </c>
      <c r="AK267" s="9">
        <v>190</v>
      </c>
      <c r="AL267" s="9" t="str">
        <f>IFERROR(MID(VLOOKUP($B267,Seqs!$A:$B,2,0),AM267,1),"")</f>
        <v>A</v>
      </c>
      <c r="AM267" s="9">
        <v>227</v>
      </c>
      <c r="AN267" s="9" t="str">
        <f>IFERROR(MID(VLOOKUP($B267,Seqs!$A:$B,2,0),AO267,1),"")</f>
        <v>Q</v>
      </c>
      <c r="AO267" s="9">
        <v>237</v>
      </c>
      <c r="AP267" s="9" t="str">
        <f>IFERROR(MID(VLOOKUP($B267,Seqs!$A:$B,2,0),AQ267,1),"")</f>
        <v>C</v>
      </c>
      <c r="AQ267" s="9">
        <v>271</v>
      </c>
      <c r="AR267" s="9" t="str">
        <f>IFERROR(MID(VLOOKUP($B267,Seqs!$A:$B,2,0),AS267,1),"")</f>
        <v>H</v>
      </c>
      <c r="AS267" s="9">
        <v>283</v>
      </c>
      <c r="AT267" s="9" t="str">
        <f>IFERROR(MID(VLOOKUP($B267,Seqs!$A:$B,2,0),AU267,1),"")</f>
        <v>R</v>
      </c>
      <c r="AU267" s="9">
        <v>305</v>
      </c>
      <c r="AV267" s="9" t="str">
        <f>IFERROR(MID(VLOOKUP($B267,Seqs!$A:$B,2,0),AW267,1),"")</f>
        <v>S</v>
      </c>
      <c r="AW267" s="9">
        <v>306</v>
      </c>
      <c r="AX267" s="9" t="str">
        <f>IFERROR(MID(VLOOKUP($B267,Seqs!$A:$B,2,0),AY267,1),"")</f>
        <v>Y</v>
      </c>
      <c r="AY267" s="9">
        <v>320</v>
      </c>
      <c r="AZ267" s="110" t="str">
        <f>VLOOKUP(B267,Classification!A:D,2,0)</f>
        <v>A</v>
      </c>
      <c r="BA267" s="98" t="str">
        <f>VLOOKUP(B267,Classification!A:D,4,0)</f>
        <v>Melanocortin</v>
      </c>
      <c r="BB267" s="36" t="b">
        <f t="shared" ref="BB267:BB268" si="2293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>
        <f t="shared" ref="BC267:BC268" si="2294">_xlfn.AGGREGATE(9,6,CH267:CS267)-_xlfn.AGGREGATE(9,6,BV267:CG267)+12</f>
        <v>248</v>
      </c>
      <c r="BD267" s="13" t="s">
        <v>23</v>
      </c>
      <c r="BE267" s="9" t="s">
        <v>23</v>
      </c>
      <c r="BF267" s="119" t="s">
        <v>23</v>
      </c>
      <c r="BG267" s="51" t="s">
        <v>23</v>
      </c>
      <c r="BH267" s="51" t="s">
        <v>23</v>
      </c>
      <c r="BJ267" s="111" t="s">
        <v>1283</v>
      </c>
      <c r="BK267" s="112" t="s">
        <v>1283</v>
      </c>
      <c r="BL267" s="112" t="s">
        <v>1283</v>
      </c>
      <c r="BM267" s="112" t="s">
        <v>1283</v>
      </c>
      <c r="BN267" s="112" t="s">
        <v>1283</v>
      </c>
      <c r="BO267" s="112" t="s">
        <v>1283</v>
      </c>
      <c r="BP267" s="112" t="s">
        <v>1283</v>
      </c>
      <c r="BQ267" s="112" t="s">
        <v>1283</v>
      </c>
      <c r="BR267" s="112" t="s">
        <v>1283</v>
      </c>
      <c r="BS267" s="112" t="s">
        <v>1283</v>
      </c>
      <c r="BT267" s="112" t="s">
        <v>1283</v>
      </c>
      <c r="BU267" s="112" t="s">
        <v>1283</v>
      </c>
      <c r="BV267" s="111">
        <f t="shared" ref="BV267:BV268" si="2295">E267</f>
        <v>47</v>
      </c>
      <c r="BW267" s="113">
        <f t="shared" ref="BW267:BW268" si="2296">I267</f>
        <v>73</v>
      </c>
      <c r="BX267" s="114">
        <f t="shared" ref="BX267:BX268" si="2297">M267</f>
        <v>77</v>
      </c>
      <c r="BY267" s="113" t="str">
        <f t="shared" ref="BY267:BY268" si="2298">Q267</f>
        <v>-</v>
      </c>
      <c r="BZ267" s="114">
        <f t="shared" ref="BZ267:BZ268" si="2299">U267</f>
        <v>115</v>
      </c>
      <c r="CA267" s="113">
        <f t="shared" ref="CA267:CA268" si="2300">Y267</f>
        <v>154</v>
      </c>
      <c r="CB267" s="114">
        <f t="shared" ref="CB267:CB268" si="2301">AC267</f>
        <v>162</v>
      </c>
      <c r="CC267" s="113" t="str">
        <f t="shared" ref="CC267:CC268" si="2302">AG267</f>
        <v>-</v>
      </c>
      <c r="CD267" s="114">
        <f t="shared" ref="CD267:CD268" si="2303">AK267</f>
        <v>190</v>
      </c>
      <c r="CE267" s="113">
        <f t="shared" ref="CE267:CE268" si="2304">AO267</f>
        <v>237</v>
      </c>
      <c r="CF267" s="114">
        <f t="shared" ref="CF267:CF268" si="2305">AS267</f>
        <v>283</v>
      </c>
      <c r="CG267" s="113">
        <f t="shared" ref="CG267:CG268" si="2306">AW267</f>
        <v>306</v>
      </c>
      <c r="CH267" s="111">
        <f t="shared" ref="CH267:CH268" si="2307">G267</f>
        <v>72</v>
      </c>
      <c r="CI267" s="113">
        <f t="shared" ref="CI267:CI268" si="2308">K267</f>
        <v>76</v>
      </c>
      <c r="CJ267" s="114">
        <f t="shared" ref="CJ267:CJ268" si="2309">O267</f>
        <v>107</v>
      </c>
      <c r="CK267" s="114" t="str">
        <f t="shared" ref="CK267:CK268" si="2310">S267</f>
        <v>-</v>
      </c>
      <c r="CL267" s="114">
        <f t="shared" ref="CL267:CL268" si="2311">W267</f>
        <v>153</v>
      </c>
      <c r="CM267" s="114">
        <f t="shared" ref="CM267:CM268" si="2312">AA267</f>
        <v>161</v>
      </c>
      <c r="CN267" s="114">
        <f t="shared" ref="CN267:CN268" si="2313">AE267</f>
        <v>188</v>
      </c>
      <c r="CO267" s="114" t="str">
        <f t="shared" ref="CO267:CO268" si="2314">AI267</f>
        <v>-</v>
      </c>
      <c r="CP267" s="114">
        <f t="shared" ref="CP267:CP268" si="2315">AM267</f>
        <v>227</v>
      </c>
      <c r="CQ267" s="114">
        <f t="shared" ref="CQ267:CQ268" si="2316">AQ267</f>
        <v>271</v>
      </c>
      <c r="CR267" s="114">
        <f t="shared" ref="CR267:CR268" si="2317">AU267</f>
        <v>305</v>
      </c>
      <c r="CS267" s="114">
        <f t="shared" ref="CS267:CS268" si="2318">AY267</f>
        <v>320</v>
      </c>
      <c r="CT267" s="109">
        <f t="shared" ref="CT267:CT268" si="2319">M267-K267</f>
        <v>1</v>
      </c>
    </row>
    <row r="268" spans="1:1029" s="12" customFormat="1" x14ac:dyDescent="0.2">
      <c r="A268" s="9" t="str">
        <f t="shared" si="2292"/>
        <v>mc4r_human_6W25</v>
      </c>
      <c r="B268" s="9" t="s">
        <v>296</v>
      </c>
      <c r="C268" s="9" t="s">
        <v>1683</v>
      </c>
      <c r="D268" s="9" t="str">
        <f>IFERROR(MID(VLOOKUP($B268,Seqs!$A:$B,2,0),E268,1),"")</f>
        <v>S</v>
      </c>
      <c r="E268" s="9">
        <v>47</v>
      </c>
      <c r="F268" s="9" t="str">
        <f>IFERROR(MID(VLOOKUP($B268,Seqs!$A:$B,2,0),G268,1),"")</f>
        <v>N</v>
      </c>
      <c r="G268" s="9">
        <v>72</v>
      </c>
      <c r="H268" s="9" t="str">
        <f>IFERROR(MID(VLOOKUP($B268,Seqs!$A:$B,2,0),I268,1),"")</f>
        <v>K</v>
      </c>
      <c r="I268" s="109">
        <v>73</v>
      </c>
      <c r="J268" s="9" t="str">
        <f>IFERROR(MID(VLOOKUP($B268,Seqs!$A:$B,2,0),K268,1),"")</f>
        <v>H</v>
      </c>
      <c r="K268" s="109">
        <v>76</v>
      </c>
      <c r="L268" s="9" t="str">
        <f>IFERROR(MID(VLOOKUP($B268,Seqs!$A:$B,2,0),M268,1),"")</f>
        <v>S</v>
      </c>
      <c r="M268" s="9">
        <v>77</v>
      </c>
      <c r="N268" s="9" t="str">
        <f>IFERROR(MID(VLOOKUP($B268,Seqs!$A:$B,2,0),O268,1),"")</f>
        <v>T</v>
      </c>
      <c r="O268" s="9">
        <v>110</v>
      </c>
      <c r="P268" s="9" t="str">
        <f>IFERROR(MID(VLOOKUP($B268,Seqs!$A:$B,2,0),Q268,1),"")</f>
        <v/>
      </c>
      <c r="Q268" s="9" t="s">
        <v>23</v>
      </c>
      <c r="R268" s="9" t="str">
        <f>IFERROR(MID(VLOOKUP($B268,Seqs!$A:$B,2,0),S268,1),"")</f>
        <v/>
      </c>
      <c r="S268" s="9" t="s">
        <v>23</v>
      </c>
      <c r="T268" s="9" t="str">
        <f>IFERROR(MID(VLOOKUP($B268,Seqs!$A:$B,2,0),U268,1),"")</f>
        <v>S</v>
      </c>
      <c r="U268" s="9">
        <v>116</v>
      </c>
      <c r="V268" s="9" t="str">
        <f>IFERROR(MID(VLOOKUP($B268,Seqs!$A:$B,2,0),W268,1),"")</f>
        <v>Y</v>
      </c>
      <c r="W268" s="9">
        <v>153</v>
      </c>
      <c r="X268" s="9" t="str">
        <f>IFERROR(MID(VLOOKUP($B268,Seqs!$A:$B,2,0),Y268,1),"")</f>
        <v>A</v>
      </c>
      <c r="Y268" s="9">
        <v>154</v>
      </c>
      <c r="Z268" s="9" t="str">
        <f>IFERROR(MID(VLOOKUP($B268,Seqs!$A:$B,2,0),AA268,1),"")</f>
        <v>M</v>
      </c>
      <c r="AA268" s="9">
        <v>161</v>
      </c>
      <c r="AB268" s="9" t="str">
        <f>IFERROR(MID(VLOOKUP($B268,Seqs!$A:$B,2,0),AC268,1),"")</f>
        <v>T</v>
      </c>
      <c r="AC268" s="9">
        <v>162</v>
      </c>
      <c r="AD268" s="9" t="str">
        <f>IFERROR(MID(VLOOKUP($B268,Seqs!$A:$B,2,0),AE268,1),"")</f>
        <v>S</v>
      </c>
      <c r="AE268" s="9">
        <v>188</v>
      </c>
      <c r="AF268" s="9" t="str">
        <f>IFERROR(MID(VLOOKUP($B268,Seqs!$A:$B,2,0),AG268,1),"")</f>
        <v/>
      </c>
      <c r="AG268" s="9" t="s">
        <v>23</v>
      </c>
      <c r="AH268" s="9" t="str">
        <f>IFERROR(MID(VLOOKUP($B268,Seqs!$A:$B,2,0),AI268,1),"")</f>
        <v/>
      </c>
      <c r="AI268" s="9" t="s">
        <v>23</v>
      </c>
      <c r="AJ268" s="9" t="str">
        <f>IFERROR(MID(VLOOKUP($B268,Seqs!$A:$B,2,0),AK268,1),"")</f>
        <v>S</v>
      </c>
      <c r="AK268" s="9">
        <v>190</v>
      </c>
      <c r="AL268" s="9" t="str">
        <f>IFERROR(MID(VLOOKUP($B268,Seqs!$A:$B,2,0),AM268,1),"")</f>
        <v>M</v>
      </c>
      <c r="AM268" s="9">
        <v>218</v>
      </c>
      <c r="AN268" s="9" t="str">
        <f>IFERROR(MID(VLOOKUP($B268,Seqs!$A:$B,2,0),AO268,1),"")</f>
        <v>G</v>
      </c>
      <c r="AO268" s="9">
        <v>238</v>
      </c>
      <c r="AP268" s="9" t="str">
        <f>IFERROR(MID(VLOOKUP($B268,Seqs!$A:$B,2,0),AQ268,1),"")</f>
        <v>C</v>
      </c>
      <c r="AQ268" s="9">
        <v>271</v>
      </c>
      <c r="AR268" s="9" t="str">
        <f>IFERROR(MID(VLOOKUP($B268,Seqs!$A:$B,2,0),AS268,1),"")</f>
        <v>H</v>
      </c>
      <c r="AS268" s="9">
        <v>283</v>
      </c>
      <c r="AT268" s="9" t="str">
        <f>IFERROR(MID(VLOOKUP($B268,Seqs!$A:$B,2,0),AU268,1),"")</f>
        <v>R</v>
      </c>
      <c r="AU268" s="9">
        <v>305</v>
      </c>
      <c r="AV268" s="9" t="str">
        <f>IFERROR(MID(VLOOKUP($B268,Seqs!$A:$B,2,0),AW268,1),"")</f>
        <v>S</v>
      </c>
      <c r="AW268" s="9">
        <v>306</v>
      </c>
      <c r="AX268" s="9" t="str">
        <f>IFERROR(MID(VLOOKUP($B268,Seqs!$A:$B,2,0),AY268,1),"")</f>
        <v>Y</v>
      </c>
      <c r="AY268" s="9">
        <v>320</v>
      </c>
      <c r="AZ268" s="110" t="str">
        <f>VLOOKUP(B268,Classification!A:D,2,0)</f>
        <v>A</v>
      </c>
      <c r="BA268" s="98" t="str">
        <f>VLOOKUP(B268,Classification!A:D,4,0)</f>
        <v>Melanocortin</v>
      </c>
      <c r="BB268" s="36" t="b">
        <f t="shared" si="2293"/>
        <v>1</v>
      </c>
      <c r="BC268" s="109">
        <f t="shared" si="2294"/>
        <v>240</v>
      </c>
      <c r="BD268" s="13" t="s">
        <v>1372</v>
      </c>
      <c r="BE268" s="9" t="s">
        <v>1370</v>
      </c>
      <c r="BF268" s="119">
        <v>2.75</v>
      </c>
      <c r="BG268" s="51" t="s">
        <v>1</v>
      </c>
      <c r="BH268" s="51" t="s">
        <v>1</v>
      </c>
      <c r="BJ268" s="111" t="s">
        <v>1283</v>
      </c>
      <c r="BK268" s="112" t="s">
        <v>1283</v>
      </c>
      <c r="BL268" s="112" t="s">
        <v>1283</v>
      </c>
      <c r="BM268" s="112" t="s">
        <v>1283</v>
      </c>
      <c r="BN268" s="112" t="s">
        <v>1283</v>
      </c>
      <c r="BO268" s="112" t="s">
        <v>1283</v>
      </c>
      <c r="BP268" s="112" t="s">
        <v>1283</v>
      </c>
      <c r="BQ268" s="112" t="s">
        <v>1283</v>
      </c>
      <c r="BR268" s="112" t="s">
        <v>1283</v>
      </c>
      <c r="BS268" s="112" t="s">
        <v>1283</v>
      </c>
      <c r="BT268" s="112" t="s">
        <v>1283</v>
      </c>
      <c r="BU268" s="112" t="s">
        <v>1283</v>
      </c>
      <c r="BV268" s="111">
        <f t="shared" si="2295"/>
        <v>47</v>
      </c>
      <c r="BW268" s="113">
        <f t="shared" si="2296"/>
        <v>73</v>
      </c>
      <c r="BX268" s="114">
        <f t="shared" si="2297"/>
        <v>77</v>
      </c>
      <c r="BY268" s="113" t="str">
        <f t="shared" si="2298"/>
        <v>-</v>
      </c>
      <c r="BZ268" s="114">
        <f t="shared" si="2299"/>
        <v>116</v>
      </c>
      <c r="CA268" s="113">
        <f t="shared" si="2300"/>
        <v>154</v>
      </c>
      <c r="CB268" s="114">
        <f t="shared" si="2301"/>
        <v>162</v>
      </c>
      <c r="CC268" s="113" t="str">
        <f t="shared" si="2302"/>
        <v>-</v>
      </c>
      <c r="CD268" s="114">
        <f t="shared" si="2303"/>
        <v>190</v>
      </c>
      <c r="CE268" s="113">
        <f t="shared" si="2304"/>
        <v>238</v>
      </c>
      <c r="CF268" s="114">
        <f t="shared" si="2305"/>
        <v>283</v>
      </c>
      <c r="CG268" s="113">
        <f t="shared" si="2306"/>
        <v>306</v>
      </c>
      <c r="CH268" s="111">
        <f t="shared" si="2307"/>
        <v>72</v>
      </c>
      <c r="CI268" s="113">
        <f t="shared" si="2308"/>
        <v>76</v>
      </c>
      <c r="CJ268" s="114">
        <f t="shared" si="2309"/>
        <v>110</v>
      </c>
      <c r="CK268" s="114" t="str">
        <f t="shared" si="2310"/>
        <v>-</v>
      </c>
      <c r="CL268" s="114">
        <f t="shared" si="2311"/>
        <v>153</v>
      </c>
      <c r="CM268" s="114">
        <f t="shared" si="2312"/>
        <v>161</v>
      </c>
      <c r="CN268" s="114">
        <f t="shared" si="2313"/>
        <v>188</v>
      </c>
      <c r="CO268" s="114" t="str">
        <f t="shared" si="2314"/>
        <v>-</v>
      </c>
      <c r="CP268" s="114">
        <f t="shared" si="2315"/>
        <v>218</v>
      </c>
      <c r="CQ268" s="114">
        <f t="shared" si="2316"/>
        <v>271</v>
      </c>
      <c r="CR268" s="114">
        <f t="shared" si="2317"/>
        <v>305</v>
      </c>
      <c r="CS268" s="114">
        <f t="shared" si="2318"/>
        <v>320</v>
      </c>
      <c r="CT268" s="109">
        <f t="shared" si="2319"/>
        <v>1</v>
      </c>
    </row>
    <row r="269" spans="1:1029" x14ac:dyDescent="0.2">
      <c r="A269" s="3" t="str">
        <f t="shared" ref="A269:A270" si="2320">CONCATENATE(B269,"_",C269)</f>
        <v>mtr1a_human__wt</v>
      </c>
      <c r="B269" s="3" t="s">
        <v>310</v>
      </c>
      <c r="C269" s="3" t="s">
        <v>100</v>
      </c>
      <c r="D269" s="3" t="str">
        <f>IFERROR(MID(VLOOKUP($B269,Seqs!$A:$B,2,0),E269,1),"")</f>
        <v>P</v>
      </c>
      <c r="E269" s="3">
        <v>23</v>
      </c>
      <c r="F269" s="3" t="str">
        <f>IFERROR(MID(VLOOKUP($B269,Seqs!$A:$B,2,0),G269,1),"")</f>
        <v>N</v>
      </c>
      <c r="G269" s="3">
        <v>55</v>
      </c>
      <c r="H269" s="3" t="str">
        <f>IFERROR(MID(VLOOKUP($B269,Seqs!$A:$B,2,0),I269,1),"")</f>
        <v>K</v>
      </c>
      <c r="I269" s="23">
        <v>56</v>
      </c>
      <c r="J269" s="3" t="str">
        <f>IFERROR(MID(VLOOKUP($B269,Seqs!$A:$B,2,0),K269,1),"")</f>
        <v>R</v>
      </c>
      <c r="K269" s="23">
        <v>59</v>
      </c>
      <c r="L269" s="3" t="str">
        <f>IFERROR(MID(VLOOKUP($B269,Seqs!$A:$B,2,0),M269,1),"")</f>
        <v>N</v>
      </c>
      <c r="M269" s="3">
        <v>60</v>
      </c>
      <c r="N269" s="3" t="str">
        <f>IFERROR(MID(VLOOKUP($B269,Seqs!$A:$B,2,0),O269,1),"")</f>
        <v>N</v>
      </c>
      <c r="O269" s="3">
        <v>91</v>
      </c>
      <c r="P269" s="3" t="str">
        <f>IFERROR(MID(VLOOKUP($B269,Seqs!$A:$B,2,0),Q269,1),"")</f>
        <v>G</v>
      </c>
      <c r="Q269" s="3">
        <v>92</v>
      </c>
      <c r="R269" s="3" t="str">
        <f>IFERROR(MID(VLOOKUP($B269,Seqs!$A:$B,2,0),S269,1),"")</f>
        <v>L</v>
      </c>
      <c r="S269" s="3">
        <v>95</v>
      </c>
      <c r="T269" s="3" t="str">
        <f>IFERROR(MID(VLOOKUP($B269,Seqs!$A:$B,2,0),U269,1),"")</f>
        <v>G</v>
      </c>
      <c r="U269" s="3">
        <v>96</v>
      </c>
      <c r="V269" s="3" t="str">
        <f>IFERROR(MID(VLOOKUP($B269,Seqs!$A:$B,2,0),W269,1),"")</f>
        <v>H</v>
      </c>
      <c r="W269" s="3">
        <v>131</v>
      </c>
      <c r="X269" s="3" t="str">
        <f>IFERROR(MID(VLOOKUP($B269,Seqs!$A:$B,2,0),Y269,1),"")</f>
        <v>S</v>
      </c>
      <c r="Y269" s="3">
        <v>132</v>
      </c>
      <c r="Z269" s="3" t="str">
        <f>IFERROR(MID(VLOOKUP($B269,Seqs!$A:$B,2,0),AA269,1),"")</f>
        <v>Y</v>
      </c>
      <c r="AA269" s="3">
        <v>139</v>
      </c>
      <c r="AB269" s="3" t="str">
        <f>IFERROR(MID(VLOOKUP($B269,Seqs!$A:$B,2,0),AC269,1),"")</f>
        <v>S</v>
      </c>
      <c r="AC269" s="3">
        <v>140</v>
      </c>
      <c r="AD269" s="3" t="str">
        <f>IFERROR(MID(VLOOKUP($B269,Seqs!$A:$B,2,0),AE269,1),"")</f>
        <v>G</v>
      </c>
      <c r="AE269" s="3">
        <v>166</v>
      </c>
      <c r="AF269" s="3" t="str">
        <f>IFERROR(MID(VLOOKUP($B269,Seqs!$A:$B,2,0),AG269,1),"")</f>
        <v>C</v>
      </c>
      <c r="AG269" s="3">
        <v>177</v>
      </c>
      <c r="AH269" s="3" t="str">
        <f>IFERROR(MID(VLOOKUP($B269,Seqs!$A:$B,2,0),AI269,1),"")</f>
        <v>F</v>
      </c>
      <c r="AI269" s="3">
        <v>179</v>
      </c>
      <c r="AJ269" s="3" t="str">
        <f>IFERROR(MID(VLOOKUP($B269,Seqs!$A:$B,2,0),AK269,1),"")</f>
        <v>S</v>
      </c>
      <c r="AK269" s="3">
        <v>184</v>
      </c>
      <c r="AL269" s="3" t="str">
        <f>IFERROR(MID(VLOOKUP($B269,Seqs!$A:$B,2,0),AM269,1),"")</f>
        <v>V</v>
      </c>
      <c r="AM269" s="3">
        <v>221</v>
      </c>
      <c r="AN269" s="3" t="str">
        <f>IFERROR(MID(VLOOKUP($B269,Seqs!$A:$B,2,0),AO269,1),"")</f>
        <v>P</v>
      </c>
      <c r="AO269" s="3">
        <v>227</v>
      </c>
      <c r="AP269" s="3" t="str">
        <f>IFERROR(MID(VLOOKUP($B269,Seqs!$A:$B,2,0),AQ269,1),"")</f>
        <v>D</v>
      </c>
      <c r="AQ269" s="3">
        <v>264</v>
      </c>
      <c r="AR269" s="3" t="str">
        <f>IFERROR(MID(VLOOKUP($B269,Seqs!$A:$B,2,0),AS269,1),"")</f>
        <v>P</v>
      </c>
      <c r="AS269" s="3">
        <v>273</v>
      </c>
      <c r="AT269" s="3" t="str">
        <f>IFERROR(MID(VLOOKUP($B269,Seqs!$A:$B,2,0),AU269,1),"")</f>
        <v>L</v>
      </c>
      <c r="AU269" s="3">
        <v>298</v>
      </c>
      <c r="AV269" s="3" t="str">
        <f>IFERROR(MID(VLOOKUP($B269,Seqs!$A:$B,2,0),AW269,1),"")</f>
        <v>N</v>
      </c>
      <c r="AW269" s="3">
        <v>299</v>
      </c>
      <c r="AX269" s="3" t="str">
        <f>IFERROR(MID(VLOOKUP($B269,Seqs!$A:$B,2,0),AY269,1),"")</f>
        <v>T</v>
      </c>
      <c r="AY269" s="3">
        <v>315</v>
      </c>
      <c r="AZ269" s="77" t="str">
        <f>VLOOKUP(B269,Classification!A:D,2,0)</f>
        <v>A</v>
      </c>
      <c r="BA269" s="94" t="str">
        <f>VLOOKUP(B269,Classification!A:D,4,0)</f>
        <v>Melatonin</v>
      </c>
      <c r="BB269" s="27" t="b">
        <f t="shared" ref="BB269:BB270" si="2321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 t="shared" ref="BC269:BC271" si="2322">_xlfn.AGGREGATE(9,6,CH269:CS269)-_xlfn.AGGREGATE(9,6,BV269:CG269)+12</f>
        <v>266</v>
      </c>
      <c r="BD269" s="5" t="s">
        <v>23</v>
      </c>
      <c r="BE269" s="3" t="s">
        <v>23</v>
      </c>
      <c r="BF269" s="118" t="s">
        <v>23</v>
      </c>
      <c r="BG269" s="49" t="s">
        <v>1373</v>
      </c>
      <c r="BH269" s="49" t="s">
        <v>1373</v>
      </c>
      <c r="BI269" s="1"/>
      <c r="BJ269" s="70" t="s">
        <v>1283</v>
      </c>
      <c r="BK269" s="57" t="s">
        <v>1283</v>
      </c>
      <c r="BL269" s="57" t="s">
        <v>1283</v>
      </c>
      <c r="BM269" s="57" t="s">
        <v>1283</v>
      </c>
      <c r="BN269" s="57" t="s">
        <v>1283</v>
      </c>
      <c r="BO269" s="57" t="s">
        <v>1283</v>
      </c>
      <c r="BP269" s="57" t="s">
        <v>1283</v>
      </c>
      <c r="BQ269" s="57" t="s">
        <v>1283</v>
      </c>
      <c r="BR269" s="57" t="s">
        <v>1283</v>
      </c>
      <c r="BS269" s="57" t="s">
        <v>1283</v>
      </c>
      <c r="BT269" s="57" t="s">
        <v>1283</v>
      </c>
      <c r="BU269" s="57" t="s">
        <v>1283</v>
      </c>
      <c r="BV269" s="70">
        <f t="shared" ref="BV269:BV270" si="2323">E269</f>
        <v>23</v>
      </c>
      <c r="BW269" s="71">
        <f t="shared" ref="BW269:BW270" si="2324">I269</f>
        <v>56</v>
      </c>
      <c r="BX269" s="72">
        <f t="shared" ref="BX269:BX270" si="2325">M269</f>
        <v>60</v>
      </c>
      <c r="BY269" s="71">
        <f t="shared" ref="BY269:BY270" si="2326">Q269</f>
        <v>92</v>
      </c>
      <c r="BZ269" s="72">
        <f t="shared" ref="BZ269:BZ270" si="2327">U269</f>
        <v>96</v>
      </c>
      <c r="CA269" s="71">
        <f t="shared" ref="CA269:CA270" si="2328">Y269</f>
        <v>132</v>
      </c>
      <c r="CB269" s="72">
        <f t="shared" ref="CB269:CB270" si="2329">AC269</f>
        <v>140</v>
      </c>
      <c r="CC269" s="71">
        <f t="shared" ref="CC269:CC270" si="2330">AG269</f>
        <v>177</v>
      </c>
      <c r="CD269" s="72">
        <f t="shared" ref="CD269:CD270" si="2331">AK269</f>
        <v>184</v>
      </c>
      <c r="CE269" s="71">
        <f t="shared" ref="CE269:CE270" si="2332">AO269</f>
        <v>227</v>
      </c>
      <c r="CF269" s="72">
        <f t="shared" ref="CF269:CF270" si="2333">AS269</f>
        <v>273</v>
      </c>
      <c r="CG269" s="71">
        <f t="shared" ref="CG269:CG270" si="2334">AW269</f>
        <v>299</v>
      </c>
      <c r="CH269" s="70">
        <f t="shared" ref="CH269:CH270" si="2335">G269</f>
        <v>55</v>
      </c>
      <c r="CI269" s="71">
        <f t="shared" ref="CI269:CI270" si="2336">K269</f>
        <v>59</v>
      </c>
      <c r="CJ269" s="72">
        <f t="shared" ref="CJ269:CJ270" si="2337">O269</f>
        <v>91</v>
      </c>
      <c r="CK269" s="72">
        <f t="shared" ref="CK269:CK270" si="2338">S269</f>
        <v>95</v>
      </c>
      <c r="CL269" s="72">
        <f t="shared" ref="CL269:CL270" si="2339">W269</f>
        <v>131</v>
      </c>
      <c r="CM269" s="72">
        <f t="shared" ref="CM269:CM270" si="2340">AA269</f>
        <v>139</v>
      </c>
      <c r="CN269" s="72">
        <f t="shared" ref="CN269:CN270" si="2341">AE269</f>
        <v>166</v>
      </c>
      <c r="CO269" s="72">
        <f t="shared" ref="CO269:CO270" si="2342">AI269</f>
        <v>179</v>
      </c>
      <c r="CP269" s="72">
        <f t="shared" ref="CP269:CP270" si="2343">AM269</f>
        <v>221</v>
      </c>
      <c r="CQ269" s="72">
        <f t="shared" ref="CQ269:CQ270" si="2344">AQ269</f>
        <v>264</v>
      </c>
      <c r="CR269" s="72">
        <f t="shared" ref="CR269:CR270" si="2345">AU269</f>
        <v>298</v>
      </c>
      <c r="CS269" s="72">
        <f t="shared" ref="CS269:CS270" si="2346">AY269</f>
        <v>315</v>
      </c>
      <c r="CT269" s="23">
        <f t="shared" ref="CT269:CT270" si="2347">M269-K269</f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2320"/>
        <v>mtr1a_human_6ME2</v>
      </c>
      <c r="B270" s="3" t="s">
        <v>310</v>
      </c>
      <c r="C270" s="3" t="s">
        <v>1560</v>
      </c>
      <c r="D270" s="3" t="str">
        <f>IFERROR(MID(VLOOKUP($B270,Seqs!$A:$B,2,0),E270,1),"")</f>
        <v>P</v>
      </c>
      <c r="E270" s="3">
        <v>23</v>
      </c>
      <c r="F270" s="3" t="str">
        <f>IFERROR(MID(VLOOKUP($B270,Seqs!$A:$B,2,0),G270,1),"")</f>
        <v>N</v>
      </c>
      <c r="G270" s="3">
        <v>55</v>
      </c>
      <c r="H270" s="3" t="str">
        <f>IFERROR(MID(VLOOKUP($B270,Seqs!$A:$B,2,0),I270,1),"")</f>
        <v>K</v>
      </c>
      <c r="I270" s="23">
        <v>56</v>
      </c>
      <c r="J270" s="3" t="str">
        <f>IFERROR(MID(VLOOKUP($B270,Seqs!$A:$B,2,0),K270,1),"")</f>
        <v>R</v>
      </c>
      <c r="K270" s="23">
        <v>59</v>
      </c>
      <c r="L270" s="3" t="str">
        <f>IFERROR(MID(VLOOKUP($B270,Seqs!$A:$B,2,0),M270,1),"")</f>
        <v>N</v>
      </c>
      <c r="M270" s="3">
        <v>60</v>
      </c>
      <c r="N270" s="3" t="str">
        <f>IFERROR(MID(VLOOKUP($B270,Seqs!$A:$B,2,0),O270,1),"")</f>
        <v>N</v>
      </c>
      <c r="O270" s="3">
        <v>91</v>
      </c>
      <c r="P270" s="3" t="str">
        <f>IFERROR(MID(VLOOKUP($B270,Seqs!$A:$B,2,0),Q270,1),"")</f>
        <v>G</v>
      </c>
      <c r="Q270" s="3">
        <v>92</v>
      </c>
      <c r="R270" s="3" t="str">
        <f>IFERROR(MID(VLOOKUP($B270,Seqs!$A:$B,2,0),S270,1),"")</f>
        <v>L</v>
      </c>
      <c r="S270" s="3">
        <v>95</v>
      </c>
      <c r="T270" s="3" t="str">
        <f>IFERROR(MID(VLOOKUP($B270,Seqs!$A:$B,2,0),U270,1),"")</f>
        <v>G</v>
      </c>
      <c r="U270" s="3">
        <v>96</v>
      </c>
      <c r="V270" s="3" t="str">
        <f>IFERROR(MID(VLOOKUP($B270,Seqs!$A:$B,2,0),W270,1),"")</f>
        <v>Y</v>
      </c>
      <c r="W270" s="3">
        <v>135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N</v>
      </c>
      <c r="AC270" s="3">
        <v>143</v>
      </c>
      <c r="AD270" s="3" t="str">
        <f>IFERROR(MID(VLOOKUP($B270,Seqs!$A:$B,2,0),AE270,1),"")</f>
        <v>G</v>
      </c>
      <c r="AE270" s="3">
        <v>166</v>
      </c>
      <c r="AF270" s="3" t="str">
        <f>IFERROR(MID(VLOOKUP($B270,Seqs!$A:$B,2,0),AG270,1),"")</f>
        <v>C</v>
      </c>
      <c r="AG270" s="3">
        <v>177</v>
      </c>
      <c r="AH270" s="3" t="str">
        <f>IFERROR(MID(VLOOKUP($B270,Seqs!$A:$B,2,0),AI270,1),"")</f>
        <v>F</v>
      </c>
      <c r="AI270" s="3">
        <v>179</v>
      </c>
      <c r="AJ270" s="3" t="str">
        <f>IFERROR(MID(VLOOKUP($B270,Seqs!$A:$B,2,0),AK270,1),"")</f>
        <v>S</v>
      </c>
      <c r="AK270" s="3">
        <v>184</v>
      </c>
      <c r="AL270" s="3" t="str">
        <f>IFERROR(MID(VLOOKUP($B270,Seqs!$A:$B,2,0),AM270,1),"")</f>
        <v>R</v>
      </c>
      <c r="AM270" s="3">
        <v>218</v>
      </c>
      <c r="AN270" s="3" t="str">
        <f>IFERROR(MID(VLOOKUP($B270,Seqs!$A:$B,2,0),AO270,1),"")</f>
        <v>R</v>
      </c>
      <c r="AO270" s="3">
        <v>235</v>
      </c>
      <c r="AP270" s="3" t="str">
        <f>IFERROR(MID(VLOOKUP($B270,Seqs!$A:$B,2,0),AQ270,1),"")</f>
        <v>D</v>
      </c>
      <c r="AQ270" s="3">
        <v>264</v>
      </c>
      <c r="AR270" s="3" t="str">
        <f>IFERROR(MID(VLOOKUP($B270,Seqs!$A:$B,2,0),AS270,1),"")</f>
        <v>P</v>
      </c>
      <c r="AS270" s="3">
        <v>273</v>
      </c>
      <c r="AT270" s="3" t="str">
        <f>IFERROR(MID(VLOOKUP($B270,Seqs!$A:$B,2,0),AU270,1),"")</f>
        <v>L</v>
      </c>
      <c r="AU270" s="3">
        <v>298</v>
      </c>
      <c r="AV270" s="3" t="str">
        <f>IFERROR(MID(VLOOKUP($B270,Seqs!$A:$B,2,0),AW270,1),"")</f>
        <v>N</v>
      </c>
      <c r="AW270" s="3">
        <v>299</v>
      </c>
      <c r="AX270" s="3" t="str">
        <f>IFERROR(MID(VLOOKUP($B270,Seqs!$A:$B,2,0),AY270,1),"")</f>
        <v>T</v>
      </c>
      <c r="AY270" s="3">
        <v>315</v>
      </c>
      <c r="AZ270" s="77" t="str">
        <f>VLOOKUP(B270,Classification!A:D,2,0)</f>
        <v>A</v>
      </c>
      <c r="BA270" s="94" t="str">
        <f>VLOOKUP(B270,Classification!A:D,4,0)</f>
        <v>Melatonin</v>
      </c>
      <c r="BB270" s="27" t="b">
        <f t="shared" si="2321"/>
        <v>1</v>
      </c>
      <c r="BC270" s="23">
        <f t="shared" si="2322"/>
        <v>249</v>
      </c>
      <c r="BD270" s="5" t="s">
        <v>1372</v>
      </c>
      <c r="BE270" s="3" t="s">
        <v>1370</v>
      </c>
      <c r="BF270" s="118">
        <v>2.8</v>
      </c>
      <c r="BG270" s="49" t="s">
        <v>1</v>
      </c>
      <c r="BH270" s="49" t="s">
        <v>1</v>
      </c>
      <c r="BI270" s="1"/>
      <c r="BJ270" s="70" t="s">
        <v>1283</v>
      </c>
      <c r="BK270" s="57" t="s">
        <v>1283</v>
      </c>
      <c r="BL270" s="57" t="s">
        <v>1283</v>
      </c>
      <c r="BM270" s="57" t="s">
        <v>1283</v>
      </c>
      <c r="BN270" s="57" t="s">
        <v>1283</v>
      </c>
      <c r="BO270" s="57" t="s">
        <v>1283</v>
      </c>
      <c r="BP270" s="57" t="s">
        <v>1283</v>
      </c>
      <c r="BQ270" s="57" t="s">
        <v>1283</v>
      </c>
      <c r="BR270" s="57" t="s">
        <v>1283</v>
      </c>
      <c r="BS270" s="57" t="s">
        <v>1283</v>
      </c>
      <c r="BT270" s="57" t="s">
        <v>1283</v>
      </c>
      <c r="BU270" s="57" t="s">
        <v>1283</v>
      </c>
      <c r="BV270" s="70">
        <f t="shared" si="2323"/>
        <v>23</v>
      </c>
      <c r="BW270" s="71">
        <f t="shared" si="2324"/>
        <v>56</v>
      </c>
      <c r="BX270" s="72">
        <f t="shared" si="2325"/>
        <v>60</v>
      </c>
      <c r="BY270" s="71">
        <f t="shared" si="2326"/>
        <v>92</v>
      </c>
      <c r="BZ270" s="72">
        <f t="shared" si="2327"/>
        <v>96</v>
      </c>
      <c r="CA270" s="71" t="str">
        <f t="shared" si="2328"/>
        <v>-</v>
      </c>
      <c r="CB270" s="72">
        <f t="shared" si="2329"/>
        <v>143</v>
      </c>
      <c r="CC270" s="71">
        <f t="shared" si="2330"/>
        <v>177</v>
      </c>
      <c r="CD270" s="72">
        <f t="shared" si="2331"/>
        <v>184</v>
      </c>
      <c r="CE270" s="71">
        <f t="shared" si="2332"/>
        <v>235</v>
      </c>
      <c r="CF270" s="72">
        <f t="shared" si="2333"/>
        <v>273</v>
      </c>
      <c r="CG270" s="71">
        <f t="shared" si="2334"/>
        <v>299</v>
      </c>
      <c r="CH270" s="70">
        <f t="shared" si="2335"/>
        <v>55</v>
      </c>
      <c r="CI270" s="71">
        <f t="shared" si="2336"/>
        <v>59</v>
      </c>
      <c r="CJ270" s="72">
        <f t="shared" si="2337"/>
        <v>91</v>
      </c>
      <c r="CK270" s="72">
        <f t="shared" si="2338"/>
        <v>95</v>
      </c>
      <c r="CL270" s="72">
        <f t="shared" si="2339"/>
        <v>135</v>
      </c>
      <c r="CM270" s="72" t="str">
        <f t="shared" si="2340"/>
        <v>-</v>
      </c>
      <c r="CN270" s="72">
        <f t="shared" si="2341"/>
        <v>166</v>
      </c>
      <c r="CO270" s="72">
        <f t="shared" si="2342"/>
        <v>179</v>
      </c>
      <c r="CP270" s="72">
        <f t="shared" si="2343"/>
        <v>218</v>
      </c>
      <c r="CQ270" s="72">
        <f t="shared" si="2344"/>
        <v>264</v>
      </c>
      <c r="CR270" s="72">
        <f t="shared" si="2345"/>
        <v>298</v>
      </c>
      <c r="CS270" s="72">
        <f t="shared" si="2346"/>
        <v>315</v>
      </c>
      <c r="CT270" s="23">
        <f t="shared" si="2347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ref="A271" si="2348">CONCATENATE(B271,"_",C271)</f>
        <v>mtr1a_human_6ME3</v>
      </c>
      <c r="B271" s="3" t="s">
        <v>310</v>
      </c>
      <c r="C271" s="3" t="s">
        <v>1561</v>
      </c>
      <c r="D271" s="3" t="str">
        <f>IFERROR(MID(VLOOKUP($B271,Seqs!$A:$B,2,0),E271,1),"")</f>
        <v>P</v>
      </c>
      <c r="E271" s="3">
        <v>23</v>
      </c>
      <c r="F271" s="3" t="str">
        <f>IFERROR(MID(VLOOKUP($B271,Seqs!$A:$B,2,0),G271,1),"")</f>
        <v>N</v>
      </c>
      <c r="G271" s="3">
        <v>55</v>
      </c>
      <c r="H271" s="3" t="str">
        <f>IFERROR(MID(VLOOKUP($B271,Seqs!$A:$B,2,0),I271,1),"")</f>
        <v>K</v>
      </c>
      <c r="I271" s="23">
        <v>56</v>
      </c>
      <c r="J271" s="3" t="str">
        <f>IFERROR(MID(VLOOKUP($B271,Seqs!$A:$B,2,0),K271,1),"")</f>
        <v>R</v>
      </c>
      <c r="K271" s="23">
        <v>59</v>
      </c>
      <c r="L271" s="3" t="str">
        <f>IFERROR(MID(VLOOKUP($B271,Seqs!$A:$B,2,0),M271,1),"")</f>
        <v>N</v>
      </c>
      <c r="M271" s="3">
        <v>60</v>
      </c>
      <c r="N271" s="3" t="str">
        <f>IFERROR(MID(VLOOKUP($B271,Seqs!$A:$B,2,0),O271,1),"")</f>
        <v>N</v>
      </c>
      <c r="O271" s="3">
        <v>91</v>
      </c>
      <c r="P271" s="3" t="str">
        <f>IFERROR(MID(VLOOKUP($B271,Seqs!$A:$B,2,0),Q271,1),"")</f>
        <v>G</v>
      </c>
      <c r="Q271" s="3">
        <v>92</v>
      </c>
      <c r="R271" s="3" t="str">
        <f>IFERROR(MID(VLOOKUP($B271,Seqs!$A:$B,2,0),S271,1),"")</f>
        <v>L</v>
      </c>
      <c r="S271" s="3">
        <v>95</v>
      </c>
      <c r="T271" s="3" t="str">
        <f>IFERROR(MID(VLOOKUP($B271,Seqs!$A:$B,2,0),U271,1),"")</f>
        <v>G</v>
      </c>
      <c r="U271" s="3">
        <v>96</v>
      </c>
      <c r="V271" s="3" t="str">
        <f>IFERROR(MID(VLOOKUP($B271,Seqs!$A:$B,2,0),W271,1),"")</f>
        <v>Y</v>
      </c>
      <c r="W271" s="3">
        <v>135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N</v>
      </c>
      <c r="AC271" s="3">
        <v>143</v>
      </c>
      <c r="AD271" s="3" t="str">
        <f>IFERROR(MID(VLOOKUP($B271,Seqs!$A:$B,2,0),AE271,1),"")</f>
        <v>G</v>
      </c>
      <c r="AE271" s="3">
        <v>166</v>
      </c>
      <c r="AF271" s="3" t="str">
        <f>IFERROR(MID(VLOOKUP($B271,Seqs!$A:$B,2,0),AG271,1),"")</f>
        <v>C</v>
      </c>
      <c r="AG271" s="3">
        <v>177</v>
      </c>
      <c r="AH271" s="3" t="str">
        <f>IFERROR(MID(VLOOKUP($B271,Seqs!$A:$B,2,0),AI271,1),"")</f>
        <v>F</v>
      </c>
      <c r="AI271" s="3">
        <v>179</v>
      </c>
      <c r="AJ271" s="3" t="str">
        <f>IFERROR(MID(VLOOKUP($B271,Seqs!$A:$B,2,0),AK271,1),"")</f>
        <v>S</v>
      </c>
      <c r="AK271" s="3">
        <v>184</v>
      </c>
      <c r="AL271" s="3" t="str">
        <f>IFERROR(MID(VLOOKUP($B271,Seqs!$A:$B,2,0),AM271,1),"")</f>
        <v>R</v>
      </c>
      <c r="AM271" s="3">
        <v>218</v>
      </c>
      <c r="AN271" s="3" t="str">
        <f>IFERROR(MID(VLOOKUP($B271,Seqs!$A:$B,2,0),AO271,1),"")</f>
        <v>R</v>
      </c>
      <c r="AO271" s="3">
        <v>235</v>
      </c>
      <c r="AP271" s="3" t="str">
        <f>IFERROR(MID(VLOOKUP($B271,Seqs!$A:$B,2,0),AQ271,1),"")</f>
        <v>D</v>
      </c>
      <c r="AQ271" s="3">
        <v>264</v>
      </c>
      <c r="AR271" s="3" t="str">
        <f>IFERROR(MID(VLOOKUP($B271,Seqs!$A:$B,2,0),AS271,1),"")</f>
        <v>P</v>
      </c>
      <c r="AS271" s="3">
        <v>273</v>
      </c>
      <c r="AT271" s="3" t="str">
        <f>IFERROR(MID(VLOOKUP($B271,Seqs!$A:$B,2,0),AU271,1),"")</f>
        <v>L</v>
      </c>
      <c r="AU271" s="3">
        <v>298</v>
      </c>
      <c r="AV271" s="3" t="str">
        <f>IFERROR(MID(VLOOKUP($B271,Seqs!$A:$B,2,0),AW271,1),"")</f>
        <v>N</v>
      </c>
      <c r="AW271" s="3">
        <v>299</v>
      </c>
      <c r="AX271" s="3" t="str">
        <f>IFERROR(MID(VLOOKUP($B271,Seqs!$A:$B,2,0),AY271,1),"")</f>
        <v>T</v>
      </c>
      <c r="AY271" s="3">
        <v>315</v>
      </c>
      <c r="AZ271" s="77" t="str">
        <f>VLOOKUP(B271,Classification!A:D,2,0)</f>
        <v>A</v>
      </c>
      <c r="BA271" s="94" t="str">
        <f>VLOOKUP(B271,Classification!A:D,4,0)</f>
        <v>Melatonin</v>
      </c>
      <c r="BB271" s="27" t="b">
        <f t="shared" ref="BB271" si="2349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si="2322"/>
        <v>249</v>
      </c>
      <c r="BD271" s="5" t="s">
        <v>23</v>
      </c>
      <c r="BE271" s="3" t="s">
        <v>1370</v>
      </c>
      <c r="BF271" s="118">
        <v>2.9</v>
      </c>
      <c r="BG271" s="49" t="s">
        <v>1</v>
      </c>
      <c r="BH271" s="49" t="s">
        <v>1</v>
      </c>
      <c r="BI271" s="1"/>
      <c r="BJ271" s="70" t="s">
        <v>1283</v>
      </c>
      <c r="BK271" s="57" t="s">
        <v>1283</v>
      </c>
      <c r="BL271" s="57" t="s">
        <v>1283</v>
      </c>
      <c r="BM271" s="57" t="s">
        <v>1283</v>
      </c>
      <c r="BN271" s="57" t="s">
        <v>1283</v>
      </c>
      <c r="BO271" s="57" t="s">
        <v>1283</v>
      </c>
      <c r="BP271" s="57" t="s">
        <v>1283</v>
      </c>
      <c r="BQ271" s="57" t="s">
        <v>1283</v>
      </c>
      <c r="BR271" s="57" t="s">
        <v>1283</v>
      </c>
      <c r="BS271" s="57" t="s">
        <v>1283</v>
      </c>
      <c r="BT271" s="57" t="s">
        <v>1283</v>
      </c>
      <c r="BU271" s="57" t="s">
        <v>1283</v>
      </c>
      <c r="BV271" s="70">
        <f t="shared" ref="BV271" si="2350">E271</f>
        <v>23</v>
      </c>
      <c r="BW271" s="71">
        <f t="shared" ref="BW271" si="2351">I271</f>
        <v>56</v>
      </c>
      <c r="BX271" s="72">
        <f t="shared" ref="BX271" si="2352">M271</f>
        <v>60</v>
      </c>
      <c r="BY271" s="71">
        <f t="shared" ref="BY271" si="2353">Q271</f>
        <v>92</v>
      </c>
      <c r="BZ271" s="72">
        <f t="shared" ref="BZ271" si="2354">U271</f>
        <v>96</v>
      </c>
      <c r="CA271" s="71" t="str">
        <f t="shared" ref="CA271" si="2355">Y271</f>
        <v>-</v>
      </c>
      <c r="CB271" s="72">
        <f t="shared" ref="CB271" si="2356">AC271</f>
        <v>143</v>
      </c>
      <c r="CC271" s="71">
        <f t="shared" ref="CC271" si="2357">AG271</f>
        <v>177</v>
      </c>
      <c r="CD271" s="72">
        <f t="shared" ref="CD271" si="2358">AK271</f>
        <v>184</v>
      </c>
      <c r="CE271" s="71">
        <f t="shared" ref="CE271" si="2359">AO271</f>
        <v>235</v>
      </c>
      <c r="CF271" s="72">
        <f t="shared" ref="CF271" si="2360">AS271</f>
        <v>273</v>
      </c>
      <c r="CG271" s="71">
        <f t="shared" ref="CG271" si="2361">AW271</f>
        <v>299</v>
      </c>
      <c r="CH271" s="70">
        <f t="shared" ref="CH271" si="2362">G271</f>
        <v>55</v>
      </c>
      <c r="CI271" s="71">
        <f t="shared" ref="CI271" si="2363">K271</f>
        <v>59</v>
      </c>
      <c r="CJ271" s="72">
        <f t="shared" ref="CJ271" si="2364">O271</f>
        <v>91</v>
      </c>
      <c r="CK271" s="72">
        <f t="shared" ref="CK271" si="2365">S271</f>
        <v>95</v>
      </c>
      <c r="CL271" s="72">
        <f t="shared" ref="CL271" si="2366">W271</f>
        <v>135</v>
      </c>
      <c r="CM271" s="72" t="str">
        <f t="shared" ref="CM271" si="2367">AA271</f>
        <v>-</v>
      </c>
      <c r="CN271" s="72">
        <f t="shared" ref="CN271" si="2368">AE271</f>
        <v>166</v>
      </c>
      <c r="CO271" s="72">
        <f t="shared" ref="CO271" si="2369">AI271</f>
        <v>179</v>
      </c>
      <c r="CP271" s="72">
        <f t="shared" ref="CP271" si="2370">AM271</f>
        <v>218</v>
      </c>
      <c r="CQ271" s="72">
        <f t="shared" ref="CQ271" si="2371">AQ271</f>
        <v>264</v>
      </c>
      <c r="CR271" s="72">
        <f t="shared" ref="CR271" si="2372">AU271</f>
        <v>298</v>
      </c>
      <c r="CS271" s="72">
        <f t="shared" ref="CS271" si="2373">AY271</f>
        <v>315</v>
      </c>
      <c r="CT271" s="23">
        <f t="shared" ref="CT271" si="2374">M271-K271</f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ref="A272" si="2375">CONCATENATE(B272,"_",C272)</f>
        <v>mtr1a_human_6ME4</v>
      </c>
      <c r="B272" s="3" t="s">
        <v>310</v>
      </c>
      <c r="C272" s="3" t="s">
        <v>1562</v>
      </c>
      <c r="D272" s="3" t="str">
        <f>IFERROR(MID(VLOOKUP($B272,Seqs!$A:$B,2,0),E272,1),"")</f>
        <v>P</v>
      </c>
      <c r="E272" s="3">
        <v>23</v>
      </c>
      <c r="F272" s="3" t="str">
        <f>IFERROR(MID(VLOOKUP($B272,Seqs!$A:$B,2,0),G272,1),"")</f>
        <v>N</v>
      </c>
      <c r="G272" s="3">
        <v>55</v>
      </c>
      <c r="H272" s="3" t="str">
        <f>IFERROR(MID(VLOOKUP($B272,Seqs!$A:$B,2,0),I272,1),"")</f>
        <v>K</v>
      </c>
      <c r="I272" s="23">
        <v>56</v>
      </c>
      <c r="J272" s="3" t="str">
        <f>IFERROR(MID(VLOOKUP($B272,Seqs!$A:$B,2,0),K272,1),"")</f>
        <v>R</v>
      </c>
      <c r="K272" s="23">
        <v>59</v>
      </c>
      <c r="L272" s="3" t="str">
        <f>IFERROR(MID(VLOOKUP($B272,Seqs!$A:$B,2,0),M272,1),"")</f>
        <v>N</v>
      </c>
      <c r="M272" s="3">
        <v>60</v>
      </c>
      <c r="N272" s="3" t="str">
        <f>IFERROR(MID(VLOOKUP($B272,Seqs!$A:$B,2,0),O272,1),"")</f>
        <v>N</v>
      </c>
      <c r="O272" s="3">
        <v>91</v>
      </c>
      <c r="P272" s="3" t="str">
        <f>IFERROR(MID(VLOOKUP($B272,Seqs!$A:$B,2,0),Q272,1),"")</f>
        <v>G</v>
      </c>
      <c r="Q272" s="3">
        <v>92</v>
      </c>
      <c r="R272" s="3" t="str">
        <f>IFERROR(MID(VLOOKUP($B272,Seqs!$A:$B,2,0),S272,1),"")</f>
        <v>L</v>
      </c>
      <c r="S272" s="3">
        <v>95</v>
      </c>
      <c r="T272" s="3" t="str">
        <f>IFERROR(MID(VLOOKUP($B272,Seqs!$A:$B,2,0),U272,1),"")</f>
        <v>G</v>
      </c>
      <c r="U272" s="3">
        <v>96</v>
      </c>
      <c r="V272" s="3" t="str">
        <f>IFERROR(MID(VLOOKUP($B272,Seqs!$A:$B,2,0),W272,1),"")</f>
        <v>Y</v>
      </c>
      <c r="W272" s="3">
        <v>135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N</v>
      </c>
      <c r="AC272" s="3">
        <v>143</v>
      </c>
      <c r="AD272" s="3" t="str">
        <f>IFERROR(MID(VLOOKUP($B272,Seqs!$A:$B,2,0),AE272,1),"")</f>
        <v>G</v>
      </c>
      <c r="AE272" s="3">
        <v>166</v>
      </c>
      <c r="AF272" s="3" t="str">
        <f>IFERROR(MID(VLOOKUP($B272,Seqs!$A:$B,2,0),AG272,1),"")</f>
        <v>C</v>
      </c>
      <c r="AG272" s="3">
        <v>177</v>
      </c>
      <c r="AH272" s="3" t="str">
        <f>IFERROR(MID(VLOOKUP($B272,Seqs!$A:$B,2,0),AI272,1),"")</f>
        <v>F</v>
      </c>
      <c r="AI272" s="3">
        <v>179</v>
      </c>
      <c r="AJ272" s="3" t="str">
        <f>IFERROR(MID(VLOOKUP($B272,Seqs!$A:$B,2,0),AK272,1),"")</f>
        <v>S</v>
      </c>
      <c r="AK272" s="3">
        <v>184</v>
      </c>
      <c r="AL272" s="3" t="str">
        <f>IFERROR(MID(VLOOKUP($B272,Seqs!$A:$B,2,0),AM272,1),"")</f>
        <v>R</v>
      </c>
      <c r="AM272" s="3">
        <v>218</v>
      </c>
      <c r="AN272" s="3" t="str">
        <f>IFERROR(MID(VLOOKUP($B272,Seqs!$A:$B,2,0),AO272,1),"")</f>
        <v>R</v>
      </c>
      <c r="AO272" s="3">
        <v>235</v>
      </c>
      <c r="AP272" s="3" t="str">
        <f>IFERROR(MID(VLOOKUP($B272,Seqs!$A:$B,2,0),AQ272,1),"")</f>
        <v>D</v>
      </c>
      <c r="AQ272" s="3">
        <v>264</v>
      </c>
      <c r="AR272" s="3" t="str">
        <f>IFERROR(MID(VLOOKUP($B272,Seqs!$A:$B,2,0),AS272,1),"")</f>
        <v>P</v>
      </c>
      <c r="AS272" s="3">
        <v>273</v>
      </c>
      <c r="AT272" s="3" t="str">
        <f>IFERROR(MID(VLOOKUP($B272,Seqs!$A:$B,2,0),AU272,1),"")</f>
        <v>L</v>
      </c>
      <c r="AU272" s="3">
        <v>298</v>
      </c>
      <c r="AV272" s="3" t="str">
        <f>IFERROR(MID(VLOOKUP($B272,Seqs!$A:$B,2,0),AW272,1),"")</f>
        <v>N</v>
      </c>
      <c r="AW272" s="3">
        <v>299</v>
      </c>
      <c r="AX272" s="3" t="str">
        <f>IFERROR(MID(VLOOKUP($B272,Seqs!$A:$B,2,0),AY272,1),"")</f>
        <v>T</v>
      </c>
      <c r="AY272" s="3">
        <v>315</v>
      </c>
      <c r="AZ272" s="77" t="str">
        <f>VLOOKUP(B272,Classification!A:D,2,0)</f>
        <v>A</v>
      </c>
      <c r="BA272" s="94" t="str">
        <f>VLOOKUP(B272,Classification!A:D,4,0)</f>
        <v>Melatonin</v>
      </c>
      <c r="BB272" s="27" t="b">
        <f t="shared" ref="BB272" si="2376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377">_xlfn.AGGREGATE(9,6,CH272:CS272)-_xlfn.AGGREGATE(9,6,BV272:CG272)+12</f>
        <v>249</v>
      </c>
      <c r="BD272" s="5" t="s">
        <v>23</v>
      </c>
      <c r="BE272" s="3" t="s">
        <v>1370</v>
      </c>
      <c r="BF272" s="118">
        <v>3.2</v>
      </c>
      <c r="BG272" s="49" t="s">
        <v>1</v>
      </c>
      <c r="BH272" s="49" t="s">
        <v>1</v>
      </c>
      <c r="BI272" s="1"/>
      <c r="BJ272" s="70" t="s">
        <v>1283</v>
      </c>
      <c r="BK272" s="57" t="s">
        <v>1283</v>
      </c>
      <c r="BL272" s="57" t="s">
        <v>1283</v>
      </c>
      <c r="BM272" s="57" t="s">
        <v>1283</v>
      </c>
      <c r="BN272" s="57" t="s">
        <v>1283</v>
      </c>
      <c r="BO272" s="57" t="s">
        <v>1283</v>
      </c>
      <c r="BP272" s="57" t="s">
        <v>1283</v>
      </c>
      <c r="BQ272" s="57" t="s">
        <v>1283</v>
      </c>
      <c r="BR272" s="57" t="s">
        <v>1283</v>
      </c>
      <c r="BS272" s="57" t="s">
        <v>1283</v>
      </c>
      <c r="BT272" s="57" t="s">
        <v>1283</v>
      </c>
      <c r="BU272" s="57" t="s">
        <v>1283</v>
      </c>
      <c r="BV272" s="70">
        <f t="shared" ref="BV272" si="2378">E272</f>
        <v>23</v>
      </c>
      <c r="BW272" s="71">
        <f t="shared" ref="BW272" si="2379">I272</f>
        <v>56</v>
      </c>
      <c r="BX272" s="72">
        <f t="shared" ref="BX272" si="2380">M272</f>
        <v>60</v>
      </c>
      <c r="BY272" s="71">
        <f t="shared" ref="BY272" si="2381">Q272</f>
        <v>92</v>
      </c>
      <c r="BZ272" s="72">
        <f t="shared" ref="BZ272" si="2382">U272</f>
        <v>96</v>
      </c>
      <c r="CA272" s="71" t="str">
        <f t="shared" ref="CA272" si="2383">Y272</f>
        <v>-</v>
      </c>
      <c r="CB272" s="72">
        <f t="shared" ref="CB272" si="2384">AC272</f>
        <v>143</v>
      </c>
      <c r="CC272" s="71">
        <f t="shared" ref="CC272" si="2385">AG272</f>
        <v>177</v>
      </c>
      <c r="CD272" s="72">
        <f t="shared" ref="CD272" si="2386">AK272</f>
        <v>184</v>
      </c>
      <c r="CE272" s="71">
        <f t="shared" ref="CE272" si="2387">AO272</f>
        <v>235</v>
      </c>
      <c r="CF272" s="72">
        <f t="shared" ref="CF272" si="2388">AS272</f>
        <v>273</v>
      </c>
      <c r="CG272" s="71">
        <f t="shared" ref="CG272" si="2389">AW272</f>
        <v>299</v>
      </c>
      <c r="CH272" s="70">
        <f t="shared" ref="CH272" si="2390">G272</f>
        <v>55</v>
      </c>
      <c r="CI272" s="71">
        <f t="shared" ref="CI272" si="2391">K272</f>
        <v>59</v>
      </c>
      <c r="CJ272" s="72">
        <f t="shared" ref="CJ272" si="2392">O272</f>
        <v>91</v>
      </c>
      <c r="CK272" s="72">
        <f t="shared" ref="CK272" si="2393">S272</f>
        <v>95</v>
      </c>
      <c r="CL272" s="72">
        <f t="shared" ref="CL272" si="2394">W272</f>
        <v>135</v>
      </c>
      <c r="CM272" s="72" t="str">
        <f t="shared" ref="CM272" si="2395">AA272</f>
        <v>-</v>
      </c>
      <c r="CN272" s="72">
        <f t="shared" ref="CN272" si="2396">AE272</f>
        <v>166</v>
      </c>
      <c r="CO272" s="72">
        <f t="shared" ref="CO272" si="2397">AI272</f>
        <v>179</v>
      </c>
      <c r="CP272" s="72">
        <f t="shared" ref="CP272" si="2398">AM272</f>
        <v>218</v>
      </c>
      <c r="CQ272" s="72">
        <f t="shared" ref="CQ272" si="2399">AQ272</f>
        <v>264</v>
      </c>
      <c r="CR272" s="72">
        <f t="shared" ref="CR272" si="2400">AU272</f>
        <v>298</v>
      </c>
      <c r="CS272" s="72">
        <f t="shared" ref="CS272" si="2401">AY272</f>
        <v>315</v>
      </c>
      <c r="CT272" s="23">
        <f t="shared" ref="CT272" si="2402">M272-K272</f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ref="A273" si="2403">CONCATENATE(B273,"_",C273)</f>
        <v>mtr1a_human_6ME5</v>
      </c>
      <c r="B273" s="3" t="s">
        <v>310</v>
      </c>
      <c r="C273" s="3" t="s">
        <v>1563</v>
      </c>
      <c r="D273" s="3" t="str">
        <f>IFERROR(MID(VLOOKUP($B273,Seqs!$A:$B,2,0),E273,1),"")</f>
        <v>P</v>
      </c>
      <c r="E273" s="3">
        <v>23</v>
      </c>
      <c r="F273" s="3" t="str">
        <f>IFERROR(MID(VLOOKUP($B273,Seqs!$A:$B,2,0),G273,1),"")</f>
        <v>N</v>
      </c>
      <c r="G273" s="3">
        <v>55</v>
      </c>
      <c r="H273" s="3" t="str">
        <f>IFERROR(MID(VLOOKUP($B273,Seqs!$A:$B,2,0),I273,1),"")</f>
        <v>K</v>
      </c>
      <c r="I273" s="23">
        <v>56</v>
      </c>
      <c r="J273" s="3" t="str">
        <f>IFERROR(MID(VLOOKUP($B273,Seqs!$A:$B,2,0),K273,1),"")</f>
        <v>R</v>
      </c>
      <c r="K273" s="23">
        <v>59</v>
      </c>
      <c r="L273" s="3" t="str">
        <f>IFERROR(MID(VLOOKUP($B273,Seqs!$A:$B,2,0),M273,1),"")</f>
        <v>N</v>
      </c>
      <c r="M273" s="3">
        <v>60</v>
      </c>
      <c r="N273" s="3" t="str">
        <f>IFERROR(MID(VLOOKUP($B273,Seqs!$A:$B,2,0),O273,1),"")</f>
        <v>N</v>
      </c>
      <c r="O273" s="3">
        <v>91</v>
      </c>
      <c r="P273" s="3" t="str">
        <f>IFERROR(MID(VLOOKUP($B273,Seqs!$A:$B,2,0),Q273,1),"")</f>
        <v>G</v>
      </c>
      <c r="Q273" s="3">
        <v>92</v>
      </c>
      <c r="R273" s="3" t="str">
        <f>IFERROR(MID(VLOOKUP($B273,Seqs!$A:$B,2,0),S273,1),"")</f>
        <v>L</v>
      </c>
      <c r="S273" s="3">
        <v>95</v>
      </c>
      <c r="T273" s="3" t="str">
        <f>IFERROR(MID(VLOOKUP($B273,Seqs!$A:$B,2,0),U273,1),"")</f>
        <v>G</v>
      </c>
      <c r="U273" s="3">
        <v>96</v>
      </c>
      <c r="V273" s="3" t="str">
        <f>IFERROR(MID(VLOOKUP($B273,Seqs!$A:$B,2,0),W273,1),"")</f>
        <v>Y</v>
      </c>
      <c r="W273" s="3">
        <v>135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N</v>
      </c>
      <c r="AC273" s="3">
        <v>143</v>
      </c>
      <c r="AD273" s="3" t="str">
        <f>IFERROR(MID(VLOOKUP($B273,Seqs!$A:$B,2,0),AE273,1),"")</f>
        <v>G</v>
      </c>
      <c r="AE273" s="3">
        <v>166</v>
      </c>
      <c r="AF273" s="3" t="str">
        <f>IFERROR(MID(VLOOKUP($B273,Seqs!$A:$B,2,0),AG273,1),"")</f>
        <v>C</v>
      </c>
      <c r="AG273" s="3">
        <v>177</v>
      </c>
      <c r="AH273" s="3" t="str">
        <f>IFERROR(MID(VLOOKUP($B273,Seqs!$A:$B,2,0),AI273,1),"")</f>
        <v>F</v>
      </c>
      <c r="AI273" s="3">
        <v>179</v>
      </c>
      <c r="AJ273" s="3" t="str">
        <f>IFERROR(MID(VLOOKUP($B273,Seqs!$A:$B,2,0),AK273,1),"")</f>
        <v>S</v>
      </c>
      <c r="AK273" s="3">
        <v>184</v>
      </c>
      <c r="AL273" s="3" t="str">
        <f>IFERROR(MID(VLOOKUP($B273,Seqs!$A:$B,2,0),AM273,1),"")</f>
        <v>R</v>
      </c>
      <c r="AM273" s="3">
        <v>218</v>
      </c>
      <c r="AN273" s="3" t="str">
        <f>IFERROR(MID(VLOOKUP($B273,Seqs!$A:$B,2,0),AO273,1),"")</f>
        <v>R</v>
      </c>
      <c r="AO273" s="3">
        <v>235</v>
      </c>
      <c r="AP273" s="3" t="str">
        <f>IFERROR(MID(VLOOKUP($B273,Seqs!$A:$B,2,0),AQ273,1),"")</f>
        <v>D</v>
      </c>
      <c r="AQ273" s="3">
        <v>264</v>
      </c>
      <c r="AR273" s="3" t="str">
        <f>IFERROR(MID(VLOOKUP($B273,Seqs!$A:$B,2,0),AS273,1),"")</f>
        <v>P</v>
      </c>
      <c r="AS273" s="3">
        <v>273</v>
      </c>
      <c r="AT273" s="3" t="str">
        <f>IFERROR(MID(VLOOKUP($B273,Seqs!$A:$B,2,0),AU273,1),"")</f>
        <v>L</v>
      </c>
      <c r="AU273" s="3">
        <v>298</v>
      </c>
      <c r="AV273" s="3" t="str">
        <f>IFERROR(MID(VLOOKUP($B273,Seqs!$A:$B,2,0),AW273,1),"")</f>
        <v>N</v>
      </c>
      <c r="AW273" s="3">
        <v>299</v>
      </c>
      <c r="AX273" s="3" t="str">
        <f>IFERROR(MID(VLOOKUP($B273,Seqs!$A:$B,2,0),AY273,1),"")</f>
        <v>T</v>
      </c>
      <c r="AY273" s="3">
        <v>315</v>
      </c>
      <c r="AZ273" s="77" t="str">
        <f>VLOOKUP(B273,Classification!A:D,2,0)</f>
        <v>A</v>
      </c>
      <c r="BA273" s="94" t="str">
        <f>VLOOKUP(B273,Classification!A:D,4,0)</f>
        <v>Melatonin</v>
      </c>
      <c r="BB273" s="27" t="b">
        <f t="shared" ref="BB273" si="2404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2405">_xlfn.AGGREGATE(9,6,CH273:CS273)-_xlfn.AGGREGATE(9,6,BV273:CG273)+12</f>
        <v>249</v>
      </c>
      <c r="BD273" s="5" t="s">
        <v>23</v>
      </c>
      <c r="BE273" s="3" t="s">
        <v>1370</v>
      </c>
      <c r="BF273" s="118">
        <v>3.2</v>
      </c>
      <c r="BG273" s="49" t="s">
        <v>1</v>
      </c>
      <c r="BH273" s="49" t="s">
        <v>1</v>
      </c>
      <c r="BI273" s="1"/>
      <c r="BJ273" s="70" t="s">
        <v>1283</v>
      </c>
      <c r="BK273" s="57" t="s">
        <v>1283</v>
      </c>
      <c r="BL273" s="57" t="s">
        <v>1283</v>
      </c>
      <c r="BM273" s="57" t="s">
        <v>1283</v>
      </c>
      <c r="BN273" s="57" t="s">
        <v>1283</v>
      </c>
      <c r="BO273" s="57" t="s">
        <v>1283</v>
      </c>
      <c r="BP273" s="57" t="s">
        <v>1283</v>
      </c>
      <c r="BQ273" s="57" t="s">
        <v>1283</v>
      </c>
      <c r="BR273" s="57" t="s">
        <v>1283</v>
      </c>
      <c r="BS273" s="57" t="s">
        <v>1283</v>
      </c>
      <c r="BT273" s="57" t="s">
        <v>1283</v>
      </c>
      <c r="BU273" s="57" t="s">
        <v>1283</v>
      </c>
      <c r="BV273" s="70">
        <f t="shared" ref="BV273" si="2406">E273</f>
        <v>23</v>
      </c>
      <c r="BW273" s="71">
        <f t="shared" ref="BW273" si="2407">I273</f>
        <v>56</v>
      </c>
      <c r="BX273" s="72">
        <f t="shared" ref="BX273" si="2408">M273</f>
        <v>60</v>
      </c>
      <c r="BY273" s="71">
        <f t="shared" ref="BY273" si="2409">Q273</f>
        <v>92</v>
      </c>
      <c r="BZ273" s="72">
        <f t="shared" ref="BZ273" si="2410">U273</f>
        <v>96</v>
      </c>
      <c r="CA273" s="71" t="str">
        <f t="shared" ref="CA273" si="2411">Y273</f>
        <v>-</v>
      </c>
      <c r="CB273" s="72">
        <f t="shared" ref="CB273" si="2412">AC273</f>
        <v>143</v>
      </c>
      <c r="CC273" s="71">
        <f t="shared" ref="CC273" si="2413">AG273</f>
        <v>177</v>
      </c>
      <c r="CD273" s="72">
        <f t="shared" ref="CD273" si="2414">AK273</f>
        <v>184</v>
      </c>
      <c r="CE273" s="71">
        <f t="shared" ref="CE273" si="2415">AO273</f>
        <v>235</v>
      </c>
      <c r="CF273" s="72">
        <f t="shared" ref="CF273" si="2416">AS273</f>
        <v>273</v>
      </c>
      <c r="CG273" s="71">
        <f t="shared" ref="CG273" si="2417">AW273</f>
        <v>299</v>
      </c>
      <c r="CH273" s="70">
        <f t="shared" ref="CH273" si="2418">G273</f>
        <v>55</v>
      </c>
      <c r="CI273" s="71">
        <f t="shared" ref="CI273" si="2419">K273</f>
        <v>59</v>
      </c>
      <c r="CJ273" s="72">
        <f t="shared" ref="CJ273" si="2420">O273</f>
        <v>91</v>
      </c>
      <c r="CK273" s="72">
        <f t="shared" ref="CK273" si="2421">S273</f>
        <v>95</v>
      </c>
      <c r="CL273" s="72">
        <f t="shared" ref="CL273" si="2422">W273</f>
        <v>135</v>
      </c>
      <c r="CM273" s="72" t="str">
        <f t="shared" ref="CM273" si="2423">AA273</f>
        <v>-</v>
      </c>
      <c r="CN273" s="72">
        <f t="shared" ref="CN273" si="2424">AE273</f>
        <v>166</v>
      </c>
      <c r="CO273" s="72">
        <f t="shared" ref="CO273" si="2425">AI273</f>
        <v>179</v>
      </c>
      <c r="CP273" s="72">
        <f t="shared" ref="CP273" si="2426">AM273</f>
        <v>218</v>
      </c>
      <c r="CQ273" s="72">
        <f t="shared" ref="CQ273" si="2427">AQ273</f>
        <v>264</v>
      </c>
      <c r="CR273" s="72">
        <f t="shared" ref="CR273" si="2428">AU273</f>
        <v>298</v>
      </c>
      <c r="CS273" s="72">
        <f t="shared" ref="CS273" si="2429">AY273</f>
        <v>315</v>
      </c>
      <c r="CT273" s="23">
        <f t="shared" ref="CT273" si="2430">M273-K273</f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>CONCATENATE(B274,"_",C274)</f>
        <v>mtr1a_human_6PS8</v>
      </c>
      <c r="B274" s="3" t="s">
        <v>310</v>
      </c>
      <c r="C274" s="3" t="s">
        <v>1612</v>
      </c>
      <c r="D274" s="3" t="str">
        <f>IFERROR(MID(VLOOKUP($B274,Seqs!$A:$B,2,0),E274,1),"")</f>
        <v>S</v>
      </c>
      <c r="E274" s="3">
        <v>24</v>
      </c>
      <c r="F274" s="3" t="str">
        <f>IFERROR(MID(VLOOKUP($B274,Seqs!$A:$B,2,0),G274,1),"")</f>
        <v>N</v>
      </c>
      <c r="G274" s="3">
        <v>55</v>
      </c>
      <c r="H274" s="3" t="str">
        <f>IFERROR(MID(VLOOKUP($B274,Seqs!$A:$B,2,0),I274,1),"")</f>
        <v>K</v>
      </c>
      <c r="I274" s="23">
        <v>56</v>
      </c>
      <c r="J274" s="3" t="str">
        <f>IFERROR(MID(VLOOKUP($B274,Seqs!$A:$B,2,0),K274,1),"")</f>
        <v>R</v>
      </c>
      <c r="K274" s="23">
        <v>59</v>
      </c>
      <c r="L274" s="3" t="str">
        <f>IFERROR(MID(VLOOKUP($B274,Seqs!$A:$B,2,0),M274,1),"")</f>
        <v>N</v>
      </c>
      <c r="M274" s="3">
        <v>60</v>
      </c>
      <c r="N274" s="3" t="str">
        <f>IFERROR(MID(VLOOKUP($B274,Seqs!$A:$B,2,0),O274,1),"")</f>
        <v>N</v>
      </c>
      <c r="O274" s="3">
        <v>91</v>
      </c>
      <c r="P274" s="3" t="str">
        <f>IFERROR(MID(VLOOKUP($B274,Seqs!$A:$B,2,0),Q274,1),"")</f>
        <v>G</v>
      </c>
      <c r="Q274" s="3">
        <v>92</v>
      </c>
      <c r="R274" s="3" t="str">
        <f>IFERROR(MID(VLOOKUP($B274,Seqs!$A:$B,2,0),S274,1),"")</f>
        <v>L</v>
      </c>
      <c r="S274" s="3">
        <v>95</v>
      </c>
      <c r="T274" s="3" t="str">
        <f>IFERROR(MID(VLOOKUP($B274,Seqs!$A:$B,2,0),U274,1),"")</f>
        <v>G</v>
      </c>
      <c r="U274" s="3">
        <v>96</v>
      </c>
      <c r="V274" s="3" t="str">
        <f>IFERROR(MID(VLOOKUP($B274,Seqs!$A:$B,2,0),W274,1),"")</f>
        <v>Y</v>
      </c>
      <c r="W274" s="3">
        <v>135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N</v>
      </c>
      <c r="AC274" s="3">
        <v>143</v>
      </c>
      <c r="AD274" s="3" t="str">
        <f>IFERROR(MID(VLOOKUP($B274,Seqs!$A:$B,2,0),AE274,1),"")</f>
        <v>G</v>
      </c>
      <c r="AE274" s="3">
        <v>166</v>
      </c>
      <c r="AF274" s="3" t="str">
        <f>IFERROR(MID(VLOOKUP($B274,Seqs!$A:$B,2,0),AG274,1),"")</f>
        <v>C</v>
      </c>
      <c r="AG274" s="3">
        <v>177</v>
      </c>
      <c r="AH274" s="3" t="str">
        <f>IFERROR(MID(VLOOKUP($B274,Seqs!$A:$B,2,0),AI274,1),"")</f>
        <v>F</v>
      </c>
      <c r="AI274" s="3">
        <v>179</v>
      </c>
      <c r="AJ274" s="3" t="str">
        <f>IFERROR(MID(VLOOKUP($B274,Seqs!$A:$B,2,0),AK274,1),"")</f>
        <v>S</v>
      </c>
      <c r="AK274" s="3">
        <v>184</v>
      </c>
      <c r="AL274" s="3" t="str">
        <f>IFERROR(MID(VLOOKUP($B274,Seqs!$A:$B,2,0),AM274,1),"")</f>
        <v>R</v>
      </c>
      <c r="AM274" s="3">
        <v>218</v>
      </c>
      <c r="AN274" s="3" t="str">
        <f>IFERROR(MID(VLOOKUP($B274,Seqs!$A:$B,2,0),AO274,1),"")</f>
        <v>F</v>
      </c>
      <c r="AO274" s="3">
        <v>234</v>
      </c>
      <c r="AP274" s="3" t="str">
        <f>IFERROR(MID(VLOOKUP($B274,Seqs!$A:$B,2,0),AQ274,1),"")</f>
        <v>S</v>
      </c>
      <c r="AQ274" s="3">
        <v>263</v>
      </c>
      <c r="AR274" s="3" t="str">
        <f>IFERROR(MID(VLOOKUP($B274,Seqs!$A:$B,2,0),AS274,1),"")</f>
        <v>P</v>
      </c>
      <c r="AS274" s="3">
        <v>273</v>
      </c>
      <c r="AT274" s="3" t="str">
        <f>IFERROR(MID(VLOOKUP($B274,Seqs!$A:$B,2,0),AU274,1),"")</f>
        <v>L</v>
      </c>
      <c r="AU274" s="3">
        <v>298</v>
      </c>
      <c r="AV274" s="3" t="str">
        <f>IFERROR(MID(VLOOKUP($B274,Seqs!$A:$B,2,0),AW274,1),"")</f>
        <v>N</v>
      </c>
      <c r="AW274" s="3">
        <v>299</v>
      </c>
      <c r="AX274" s="3" t="str">
        <f>IFERROR(MID(VLOOKUP($B274,Seqs!$A:$B,2,0),AY274,1),"")</f>
        <v>T</v>
      </c>
      <c r="AY274" s="3">
        <v>315</v>
      </c>
      <c r="AZ274" s="77" t="str">
        <f>VLOOKUP(B274,Classification!A:D,2,0)</f>
        <v>A</v>
      </c>
      <c r="BA274" s="94" t="str">
        <f>VLOOKUP(B274,Classification!A:D,4,0)</f>
        <v>Melatonin</v>
      </c>
      <c r="BB274" s="27" t="b">
        <f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>_xlfn.AGGREGATE(9,6,CH274:CS274)-_xlfn.AGGREGATE(9,6,BV274:CG274)+12</f>
        <v>248</v>
      </c>
      <c r="BD274" s="74" t="s">
        <v>23</v>
      </c>
      <c r="BE274" s="3" t="s">
        <v>1370</v>
      </c>
      <c r="BF274" s="118">
        <v>3.3</v>
      </c>
      <c r="BG274" s="49" t="s">
        <v>1</v>
      </c>
      <c r="BH274" s="49" t="s">
        <v>1</v>
      </c>
      <c r="BI274" s="1"/>
      <c r="BJ274" s="70" t="s">
        <v>1283</v>
      </c>
      <c r="BK274" s="57" t="s">
        <v>1283</v>
      </c>
      <c r="BL274" s="57" t="s">
        <v>1283</v>
      </c>
      <c r="BM274" s="57" t="s">
        <v>1283</v>
      </c>
      <c r="BN274" s="57" t="s">
        <v>1283</v>
      </c>
      <c r="BO274" s="57" t="s">
        <v>1283</v>
      </c>
      <c r="BP274" s="57" t="s">
        <v>1283</v>
      </c>
      <c r="BQ274" s="57" t="s">
        <v>1283</v>
      </c>
      <c r="BR274" s="57" t="s">
        <v>1283</v>
      </c>
      <c r="BS274" s="57" t="s">
        <v>1283</v>
      </c>
      <c r="BT274" s="57" t="s">
        <v>1283</v>
      </c>
      <c r="BU274" s="57" t="s">
        <v>1283</v>
      </c>
      <c r="BV274" s="70">
        <f>E274</f>
        <v>24</v>
      </c>
      <c r="BW274" s="71">
        <f>I274</f>
        <v>56</v>
      </c>
      <c r="BX274" s="72">
        <f>M274</f>
        <v>60</v>
      </c>
      <c r="BY274" s="71">
        <f>Q274</f>
        <v>92</v>
      </c>
      <c r="BZ274" s="72">
        <f>U274</f>
        <v>96</v>
      </c>
      <c r="CA274" s="71" t="str">
        <f>Y274</f>
        <v>-</v>
      </c>
      <c r="CB274" s="72">
        <f>AC274</f>
        <v>143</v>
      </c>
      <c r="CC274" s="71">
        <f>AG274</f>
        <v>177</v>
      </c>
      <c r="CD274" s="72">
        <f>AK274</f>
        <v>184</v>
      </c>
      <c r="CE274" s="71">
        <f>AO274</f>
        <v>234</v>
      </c>
      <c r="CF274" s="72">
        <f>AS274</f>
        <v>273</v>
      </c>
      <c r="CG274" s="71">
        <f>AW274</f>
        <v>299</v>
      </c>
      <c r="CH274" s="70">
        <f>G274</f>
        <v>55</v>
      </c>
      <c r="CI274" s="71">
        <f>K274</f>
        <v>59</v>
      </c>
      <c r="CJ274" s="72">
        <f>O274</f>
        <v>91</v>
      </c>
      <c r="CK274" s="72">
        <f>S274</f>
        <v>95</v>
      </c>
      <c r="CL274" s="72">
        <f>W274</f>
        <v>135</v>
      </c>
      <c r="CM274" s="72" t="str">
        <f>AA274</f>
        <v>-</v>
      </c>
      <c r="CN274" s="72">
        <f>AE274</f>
        <v>166</v>
      </c>
      <c r="CO274" s="72">
        <f>AI274</f>
        <v>179</v>
      </c>
      <c r="CP274" s="72">
        <f>AM274</f>
        <v>218</v>
      </c>
      <c r="CQ274" s="72">
        <f>AQ274</f>
        <v>263</v>
      </c>
      <c r="CR274" s="72">
        <f>AU274</f>
        <v>298</v>
      </c>
      <c r="CS274" s="72">
        <f>AY274</f>
        <v>315</v>
      </c>
      <c r="CT274" s="23">
        <f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ref="A275:A276" si="2431">CONCATENATE(B275,"_",C275)</f>
        <v>mtr1b_human__wt</v>
      </c>
      <c r="B275" s="3" t="s">
        <v>311</v>
      </c>
      <c r="C275" s="3" t="s">
        <v>100</v>
      </c>
      <c r="D275" s="3" t="str">
        <f>IFERROR(MID(VLOOKUP($B275,Seqs!$A:$B,2,0),E275,1),"")</f>
        <v>W</v>
      </c>
      <c r="E275" s="3">
        <v>38</v>
      </c>
      <c r="F275" s="3" t="str">
        <f>IFERROR(MID(VLOOKUP($B275,Seqs!$A:$B,2,0),G275,1),"")</f>
        <v>N</v>
      </c>
      <c r="G275" s="3">
        <v>68</v>
      </c>
      <c r="H275" s="3" t="str">
        <f>IFERROR(MID(VLOOKUP($B275,Seqs!$A:$B,2,0),I275,1),"")</f>
        <v>R</v>
      </c>
      <c r="I275" s="23">
        <v>69</v>
      </c>
      <c r="J275" s="3" t="str">
        <f>IFERROR(MID(VLOOKUP($B275,Seqs!$A:$B,2,0),K275,1),"")</f>
        <v>R</v>
      </c>
      <c r="K275" s="23">
        <v>72</v>
      </c>
      <c r="L275" s="3" t="str">
        <f>IFERROR(MID(VLOOKUP($B275,Seqs!$A:$B,2,0),M275,1),"")</f>
        <v>N</v>
      </c>
      <c r="M275" s="3">
        <v>73</v>
      </c>
      <c r="N275" s="3" t="str">
        <f>IFERROR(MID(VLOOKUP($B275,Seqs!$A:$B,2,0),O275,1),"")</f>
        <v>D</v>
      </c>
      <c r="O275" s="3">
        <v>104</v>
      </c>
      <c r="P275" s="3" t="str">
        <f>IFERROR(MID(VLOOKUP($B275,Seqs!$A:$B,2,0),Q275,1),"")</f>
        <v>G</v>
      </c>
      <c r="Q275" s="3">
        <v>105</v>
      </c>
      <c r="R275" s="3" t="str">
        <f>IFERROR(MID(VLOOKUP($B275,Seqs!$A:$B,2,0),S275,1),"")</f>
        <v>L</v>
      </c>
      <c r="S275" s="3">
        <v>108</v>
      </c>
      <c r="T275" s="3" t="str">
        <f>IFERROR(MID(VLOOKUP($B275,Seqs!$A:$B,2,0),U275,1),"")</f>
        <v>G</v>
      </c>
      <c r="U275" s="3">
        <v>109</v>
      </c>
      <c r="V275" s="3" t="str">
        <f>IFERROR(MID(VLOOKUP($B275,Seqs!$A:$B,2,0),W275,1),"")</f>
        <v>H</v>
      </c>
      <c r="W275" s="3">
        <v>144</v>
      </c>
      <c r="X275" s="3" t="str">
        <f>IFERROR(MID(VLOOKUP($B275,Seqs!$A:$B,2,0),Y275,1),"")</f>
        <v>S</v>
      </c>
      <c r="Y275" s="3">
        <v>145</v>
      </c>
      <c r="Z275" s="3" t="str">
        <f>IFERROR(MID(VLOOKUP($B275,Seqs!$A:$B,2,0),AA275,1),"")</f>
        <v>Y</v>
      </c>
      <c r="AA275" s="3">
        <v>152</v>
      </c>
      <c r="AB275" s="3" t="str">
        <f>IFERROR(MID(VLOOKUP($B275,Seqs!$A:$B,2,0),AC275,1),"")</f>
        <v>R</v>
      </c>
      <c r="AC275" s="3">
        <v>153</v>
      </c>
      <c r="AD275" s="3" t="str">
        <f>IFERROR(MID(VLOOKUP($B275,Seqs!$A:$B,2,0),AE275,1),"")</f>
        <v>G</v>
      </c>
      <c r="AE275" s="3">
        <v>179</v>
      </c>
      <c r="AF275" s="3" t="str">
        <f>IFERROR(MID(VLOOKUP($B275,Seqs!$A:$B,2,0),AG275,1),"")</f>
        <v>C</v>
      </c>
      <c r="AG275" s="3">
        <v>190</v>
      </c>
      <c r="AH275" s="3" t="str">
        <f>IFERROR(MID(VLOOKUP($B275,Seqs!$A:$B,2,0),AI275,1),"")</f>
        <v>F</v>
      </c>
      <c r="AI275" s="3">
        <v>192</v>
      </c>
      <c r="AJ275" s="3" t="str">
        <f>IFERROR(MID(VLOOKUP($B275,Seqs!$A:$B,2,0),AK275,1),"")</f>
        <v>S</v>
      </c>
      <c r="AK275" s="3">
        <v>197</v>
      </c>
      <c r="AL275" s="3" t="str">
        <f>IFERROR(MID(VLOOKUP($B275,Seqs!$A:$B,2,0),AM275,1),"")</f>
        <v>A</v>
      </c>
      <c r="AM275" s="3">
        <v>234</v>
      </c>
      <c r="AN275" s="3" t="str">
        <f>IFERROR(MID(VLOOKUP($B275,Seqs!$A:$B,2,0),AO275,1),"")</f>
        <v>L</v>
      </c>
      <c r="AO275" s="3">
        <v>240</v>
      </c>
      <c r="AP275" s="3" t="str">
        <f>IFERROR(MID(VLOOKUP($B275,Seqs!$A:$B,2,0),AQ275,1),"")</f>
        <v>N</v>
      </c>
      <c r="AQ275" s="3">
        <v>277</v>
      </c>
      <c r="AR275" s="3" t="str">
        <f>IFERROR(MID(VLOOKUP($B275,Seqs!$A:$B,2,0),AS275,1),"")</f>
        <v>P</v>
      </c>
      <c r="AS275" s="3">
        <v>286</v>
      </c>
      <c r="AT275" s="3" t="str">
        <f>IFERROR(MID(VLOOKUP($B275,Seqs!$A:$B,2,0),AU275,1),"")</f>
        <v>L</v>
      </c>
      <c r="AU275" s="3">
        <v>311</v>
      </c>
      <c r="AV275" s="3" t="str">
        <f>IFERROR(MID(VLOOKUP($B275,Seqs!$A:$B,2,0),AW275,1),"")</f>
        <v>N</v>
      </c>
      <c r="AW275" s="3">
        <v>312</v>
      </c>
      <c r="AX275" s="3" t="str">
        <f>IFERROR(MID(VLOOKUP($B275,Seqs!$A:$B,2,0),AY275,1),"")</f>
        <v>N</v>
      </c>
      <c r="AY275" s="3">
        <v>328</v>
      </c>
      <c r="AZ275" s="77" t="str">
        <f>VLOOKUP(B275,Classification!A:D,2,0)</f>
        <v>A</v>
      </c>
      <c r="BA275" s="94" t="str">
        <f>VLOOKUP(B275,Classification!A:D,4,0)</f>
        <v>Melatonin</v>
      </c>
      <c r="BB275" s="27" t="b">
        <f t="shared" ref="BB275:BB276" si="2432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 t="shared" ref="BC275:BC276" si="2433">_xlfn.AGGREGATE(9,6,CH275:CS275)-_xlfn.AGGREGATE(9,6,BV275:CG275)+12</f>
        <v>264</v>
      </c>
      <c r="BD275" s="5" t="s">
        <v>23</v>
      </c>
      <c r="BE275" s="3" t="s">
        <v>23</v>
      </c>
      <c r="BF275" s="118" t="s">
        <v>23</v>
      </c>
      <c r="BI275" s="1"/>
      <c r="BJ275" s="70" t="s">
        <v>1283</v>
      </c>
      <c r="BK275" s="57" t="s">
        <v>1283</v>
      </c>
      <c r="BL275" s="57" t="s">
        <v>1283</v>
      </c>
      <c r="BM275" s="57" t="s">
        <v>1283</v>
      </c>
      <c r="BN275" s="57" t="s">
        <v>1283</v>
      </c>
      <c r="BO275" s="57" t="s">
        <v>1283</v>
      </c>
      <c r="BP275" s="57" t="s">
        <v>1283</v>
      </c>
      <c r="BQ275" s="57" t="s">
        <v>1283</v>
      </c>
      <c r="BR275" s="57" t="s">
        <v>1283</v>
      </c>
      <c r="BS275" s="57" t="s">
        <v>1283</v>
      </c>
      <c r="BT275" s="57" t="s">
        <v>1283</v>
      </c>
      <c r="BU275" s="57" t="s">
        <v>1283</v>
      </c>
      <c r="BV275" s="70">
        <f t="shared" ref="BV275:BV276" si="2434">E275</f>
        <v>38</v>
      </c>
      <c r="BW275" s="71">
        <f t="shared" ref="BW275:BW276" si="2435">I275</f>
        <v>69</v>
      </c>
      <c r="BX275" s="72">
        <f t="shared" ref="BX275:BX276" si="2436">M275</f>
        <v>73</v>
      </c>
      <c r="BY275" s="71">
        <f t="shared" ref="BY275:BY276" si="2437">Q275</f>
        <v>105</v>
      </c>
      <c r="BZ275" s="72">
        <f t="shared" ref="BZ275:BZ276" si="2438">U275</f>
        <v>109</v>
      </c>
      <c r="CA275" s="71">
        <f t="shared" ref="CA275:CA276" si="2439">Y275</f>
        <v>145</v>
      </c>
      <c r="CB275" s="72">
        <f t="shared" ref="CB275:CB276" si="2440">AC275</f>
        <v>153</v>
      </c>
      <c r="CC275" s="71">
        <f t="shared" ref="CC275:CC276" si="2441">AG275</f>
        <v>190</v>
      </c>
      <c r="CD275" s="72">
        <f t="shared" ref="CD275:CD276" si="2442">AK275</f>
        <v>197</v>
      </c>
      <c r="CE275" s="71">
        <f t="shared" ref="CE275:CE276" si="2443">AO275</f>
        <v>240</v>
      </c>
      <c r="CF275" s="72">
        <f t="shared" ref="CF275:CF276" si="2444">AS275</f>
        <v>286</v>
      </c>
      <c r="CG275" s="71">
        <f t="shared" ref="CG275:CG276" si="2445">AW275</f>
        <v>312</v>
      </c>
      <c r="CH275" s="70">
        <f t="shared" ref="CH275:CH276" si="2446">G275</f>
        <v>68</v>
      </c>
      <c r="CI275" s="71">
        <f t="shared" ref="CI275:CI276" si="2447">K275</f>
        <v>72</v>
      </c>
      <c r="CJ275" s="72">
        <f t="shared" ref="CJ275:CJ276" si="2448">O275</f>
        <v>104</v>
      </c>
      <c r="CK275" s="72">
        <f t="shared" ref="CK275:CK276" si="2449">S275</f>
        <v>108</v>
      </c>
      <c r="CL275" s="72">
        <f t="shared" ref="CL275:CL276" si="2450">W275</f>
        <v>144</v>
      </c>
      <c r="CM275" s="72">
        <f t="shared" ref="CM275:CM276" si="2451">AA275</f>
        <v>152</v>
      </c>
      <c r="CN275" s="72">
        <f t="shared" ref="CN275:CN276" si="2452">AE275</f>
        <v>179</v>
      </c>
      <c r="CO275" s="72">
        <f t="shared" ref="CO275:CO276" si="2453">AI275</f>
        <v>192</v>
      </c>
      <c r="CP275" s="72">
        <f t="shared" ref="CP275:CP276" si="2454">AM275</f>
        <v>234</v>
      </c>
      <c r="CQ275" s="72">
        <f t="shared" ref="CQ275:CQ276" si="2455">AQ275</f>
        <v>277</v>
      </c>
      <c r="CR275" s="72">
        <f t="shared" ref="CR275:CR276" si="2456">AU275</f>
        <v>311</v>
      </c>
      <c r="CS275" s="72">
        <f t="shared" ref="CS275:CS276" si="2457">AY275</f>
        <v>328</v>
      </c>
      <c r="CT275" s="23">
        <f t="shared" ref="CT275:CT276" si="2458">M275-K275</f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si="2431"/>
        <v>mtr1b_human_6ME6</v>
      </c>
      <c r="B276" s="3" t="s">
        <v>311</v>
      </c>
      <c r="C276" s="3" t="s">
        <v>1564</v>
      </c>
      <c r="D276" s="3" t="str">
        <f>IFERROR(MID(VLOOKUP($B276,Seqs!$A:$B,2,0),E276,1),"")</f>
        <v>W</v>
      </c>
      <c r="E276" s="3">
        <v>38</v>
      </c>
      <c r="F276" s="3" t="str">
        <f>IFERROR(MID(VLOOKUP($B276,Seqs!$A:$B,2,0),G276,1),"")</f>
        <v>R</v>
      </c>
      <c r="G276" s="3">
        <v>67</v>
      </c>
      <c r="H276" s="3" t="str">
        <f>IFERROR(MID(VLOOKUP($B276,Seqs!$A:$B,2,0),I276,1),"")</f>
        <v>R</v>
      </c>
      <c r="I276" s="23">
        <v>69</v>
      </c>
      <c r="J276" s="3" t="str">
        <f>IFERROR(MID(VLOOKUP($B276,Seqs!$A:$B,2,0),K276,1),"")</f>
        <v>R</v>
      </c>
      <c r="K276" s="23">
        <v>72</v>
      </c>
      <c r="L276" s="3" t="str">
        <f>IFERROR(MID(VLOOKUP($B276,Seqs!$A:$B,2,0),M276,1),"")</f>
        <v>N</v>
      </c>
      <c r="M276" s="3">
        <v>73</v>
      </c>
      <c r="N276" s="3" t="str">
        <f>IFERROR(MID(VLOOKUP($B276,Seqs!$A:$B,2,0),O276,1),"")</f>
        <v>D</v>
      </c>
      <c r="O276" s="3">
        <v>104</v>
      </c>
      <c r="P276" s="3" t="str">
        <f>IFERROR(MID(VLOOKUP($B276,Seqs!$A:$B,2,0),Q276,1),"")</f>
        <v>G</v>
      </c>
      <c r="Q276" s="3">
        <v>105</v>
      </c>
      <c r="R276" s="3" t="str">
        <f>IFERROR(MID(VLOOKUP($B276,Seqs!$A:$B,2,0),S276,1),"")</f>
        <v>L</v>
      </c>
      <c r="S276" s="3">
        <v>108</v>
      </c>
      <c r="T276" s="3" t="str">
        <f>IFERROR(MID(VLOOKUP($B276,Seqs!$A:$B,2,0),U276,1),"")</f>
        <v>E</v>
      </c>
      <c r="U276" s="3">
        <v>110</v>
      </c>
      <c r="V276" s="3" t="str">
        <f>IFERROR(MID(VLOOKUP($B276,Seqs!$A:$B,2,0),W276,1),"")</f>
        <v>H</v>
      </c>
      <c r="W276" s="3">
        <v>144</v>
      </c>
      <c r="X276" s="3" t="str">
        <f>IFERROR(MID(VLOOKUP($B276,Seqs!$A:$B,2,0),Y276,1),"")</f>
        <v>S</v>
      </c>
      <c r="Y276" s="3">
        <v>145</v>
      </c>
      <c r="Z276" s="3" t="str">
        <f>IFERROR(MID(VLOOKUP($B276,Seqs!$A:$B,2,0),AA276,1),"")</f>
        <v>Y</v>
      </c>
      <c r="AA276" s="3">
        <v>152</v>
      </c>
      <c r="AB276" s="3" t="str">
        <f>IFERROR(MID(VLOOKUP($B276,Seqs!$A:$B,2,0),AC276,1),"")</f>
        <v>R</v>
      </c>
      <c r="AC276" s="3">
        <v>153</v>
      </c>
      <c r="AD276" s="3" t="str">
        <f>IFERROR(MID(VLOOKUP($B276,Seqs!$A:$B,2,0),AE276,1),"")</f>
        <v>V</v>
      </c>
      <c r="AE276" s="3">
        <v>178</v>
      </c>
      <c r="AF276" s="3" t="str">
        <f>IFERROR(MID(VLOOKUP($B276,Seqs!$A:$B,2,0),AG276,1),"")</f>
        <v>C</v>
      </c>
      <c r="AG276" s="3">
        <v>190</v>
      </c>
      <c r="AH276" s="3" t="str">
        <f>IFERROR(MID(VLOOKUP($B276,Seqs!$A:$B,2,0),AI276,1),"")</f>
        <v>F</v>
      </c>
      <c r="AI276" s="3">
        <v>192</v>
      </c>
      <c r="AJ276" s="3" t="str">
        <f>IFERROR(MID(VLOOKUP($B276,Seqs!$A:$B,2,0),AK276,1),"")</f>
        <v>S</v>
      </c>
      <c r="AK276" s="3">
        <v>197</v>
      </c>
      <c r="AL276" s="3" t="str">
        <f>IFERROR(MID(VLOOKUP($B276,Seqs!$A:$B,2,0),AM276,1),"")</f>
        <v>R</v>
      </c>
      <c r="AM276" s="3">
        <v>231</v>
      </c>
      <c r="AN276" s="3" t="str">
        <f>IFERROR(MID(VLOOKUP($B276,Seqs!$A:$B,2,0),AO276,1),"")</f>
        <v>F</v>
      </c>
      <c r="AO276" s="3">
        <v>250</v>
      </c>
      <c r="AP276" s="3" t="str">
        <f>IFERROR(MID(VLOOKUP($B276,Seqs!$A:$B,2,0),AQ276,1),"")</f>
        <v>N</v>
      </c>
      <c r="AQ276" s="3">
        <v>277</v>
      </c>
      <c r="AR276" s="3" t="str">
        <f>IFERROR(MID(VLOOKUP($B276,Seqs!$A:$B,2,0),AS276,1),"")</f>
        <v>P</v>
      </c>
      <c r="AS276" s="3">
        <v>286</v>
      </c>
      <c r="AT276" s="3" t="str">
        <f>IFERROR(MID(VLOOKUP($B276,Seqs!$A:$B,2,0),AU276,1),"")</f>
        <v>L</v>
      </c>
      <c r="AU276" s="3">
        <v>311</v>
      </c>
      <c r="AV276" s="3" t="str">
        <f>IFERROR(MID(VLOOKUP($B276,Seqs!$A:$B,2,0),AW276,1),"")</f>
        <v>N</v>
      </c>
      <c r="AW276" s="3">
        <v>312</v>
      </c>
      <c r="AX276" s="3" t="str">
        <f>IFERROR(MID(VLOOKUP($B276,Seqs!$A:$B,2,0),AY276,1),"")</f>
        <v>N</v>
      </c>
      <c r="AY276" s="3">
        <v>328</v>
      </c>
      <c r="AZ276" s="77" t="str">
        <f>VLOOKUP(B276,Classification!A:D,2,0)</f>
        <v>A</v>
      </c>
      <c r="BA276" s="94" t="str">
        <f>VLOOKUP(B276,Classification!A:D,4,0)</f>
        <v>Melatonin</v>
      </c>
      <c r="BB276" s="27" t="b">
        <f t="shared" si="2432"/>
        <v>1</v>
      </c>
      <c r="BC276" s="23">
        <f t="shared" si="2433"/>
        <v>248</v>
      </c>
      <c r="BD276" s="5" t="s">
        <v>23</v>
      </c>
      <c r="BE276" s="3" t="s">
        <v>1370</v>
      </c>
      <c r="BF276" s="118">
        <v>2.8</v>
      </c>
      <c r="BG276" s="49" t="s">
        <v>1277</v>
      </c>
      <c r="BH276" s="49" t="s">
        <v>1277</v>
      </c>
      <c r="BI276" s="1"/>
      <c r="BJ276" s="70" t="s">
        <v>1283</v>
      </c>
      <c r="BK276" s="57" t="s">
        <v>1283</v>
      </c>
      <c r="BL276" s="57" t="s">
        <v>1283</v>
      </c>
      <c r="BM276" s="57" t="s">
        <v>1283</v>
      </c>
      <c r="BN276" s="57" t="s">
        <v>1283</v>
      </c>
      <c r="BO276" s="57" t="s">
        <v>1283</v>
      </c>
      <c r="BP276" s="57" t="s">
        <v>1283</v>
      </c>
      <c r="BQ276" s="57" t="s">
        <v>1283</v>
      </c>
      <c r="BR276" s="57" t="s">
        <v>1283</v>
      </c>
      <c r="BS276" s="57" t="s">
        <v>1283</v>
      </c>
      <c r="BT276" s="57" t="s">
        <v>1283</v>
      </c>
      <c r="BU276" s="57" t="s">
        <v>1283</v>
      </c>
      <c r="BV276" s="70">
        <f t="shared" si="2434"/>
        <v>38</v>
      </c>
      <c r="BW276" s="71">
        <f t="shared" si="2435"/>
        <v>69</v>
      </c>
      <c r="BX276" s="72">
        <f t="shared" si="2436"/>
        <v>73</v>
      </c>
      <c r="BY276" s="71">
        <f t="shared" si="2437"/>
        <v>105</v>
      </c>
      <c r="BZ276" s="72">
        <f t="shared" si="2438"/>
        <v>110</v>
      </c>
      <c r="CA276" s="71">
        <f t="shared" si="2439"/>
        <v>145</v>
      </c>
      <c r="CB276" s="72">
        <f t="shared" si="2440"/>
        <v>153</v>
      </c>
      <c r="CC276" s="71">
        <f t="shared" si="2441"/>
        <v>190</v>
      </c>
      <c r="CD276" s="72">
        <f t="shared" si="2442"/>
        <v>197</v>
      </c>
      <c r="CE276" s="71">
        <f t="shared" si="2443"/>
        <v>250</v>
      </c>
      <c r="CF276" s="72">
        <f t="shared" si="2444"/>
        <v>286</v>
      </c>
      <c r="CG276" s="71">
        <f t="shared" si="2445"/>
        <v>312</v>
      </c>
      <c r="CH276" s="70">
        <f t="shared" si="2446"/>
        <v>67</v>
      </c>
      <c r="CI276" s="71">
        <f t="shared" si="2447"/>
        <v>72</v>
      </c>
      <c r="CJ276" s="72">
        <f t="shared" si="2448"/>
        <v>104</v>
      </c>
      <c r="CK276" s="72">
        <f t="shared" si="2449"/>
        <v>108</v>
      </c>
      <c r="CL276" s="72">
        <f t="shared" si="2450"/>
        <v>144</v>
      </c>
      <c r="CM276" s="72">
        <f t="shared" si="2451"/>
        <v>152</v>
      </c>
      <c r="CN276" s="72">
        <f t="shared" si="2452"/>
        <v>178</v>
      </c>
      <c r="CO276" s="72">
        <f t="shared" si="2453"/>
        <v>192</v>
      </c>
      <c r="CP276" s="72">
        <f t="shared" si="2454"/>
        <v>231</v>
      </c>
      <c r="CQ276" s="72">
        <f t="shared" si="2455"/>
        <v>277</v>
      </c>
      <c r="CR276" s="72">
        <f t="shared" si="2456"/>
        <v>311</v>
      </c>
      <c r="CS276" s="72">
        <f t="shared" si="2457"/>
        <v>328</v>
      </c>
      <c r="CT276" s="23">
        <f t="shared" si="2458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ref="A277" si="2459">CONCATENATE(B277,"_",C277)</f>
        <v>mtr1b_human_6ME7</v>
      </c>
      <c r="B277" s="3" t="s">
        <v>311</v>
      </c>
      <c r="C277" s="3" t="s">
        <v>1565</v>
      </c>
      <c r="D277" s="3" t="str">
        <f>IFERROR(MID(VLOOKUP($B277,Seqs!$A:$B,2,0),E277,1),"")</f>
        <v>W</v>
      </c>
      <c r="E277" s="3">
        <v>38</v>
      </c>
      <c r="F277" s="3" t="str">
        <f>IFERROR(MID(VLOOKUP($B277,Seqs!$A:$B,2,0),G277,1),"")</f>
        <v>N</v>
      </c>
      <c r="G277" s="3">
        <v>68</v>
      </c>
      <c r="H277" s="3" t="str">
        <f>IFERROR(MID(VLOOKUP($B277,Seqs!$A:$B,2,0),I277,1),"")</f>
        <v>R</v>
      </c>
      <c r="I277" s="23">
        <v>69</v>
      </c>
      <c r="J277" s="3" t="str">
        <f>IFERROR(MID(VLOOKUP($B277,Seqs!$A:$B,2,0),K277,1),"")</f>
        <v>R</v>
      </c>
      <c r="K277" s="23">
        <v>72</v>
      </c>
      <c r="L277" s="3" t="str">
        <f>IFERROR(MID(VLOOKUP($B277,Seqs!$A:$B,2,0),M277,1),"")</f>
        <v>G</v>
      </c>
      <c r="M277" s="3">
        <v>75</v>
      </c>
      <c r="N277" s="3" t="str">
        <f>IFERROR(MID(VLOOKUP($B277,Seqs!$A:$B,2,0),O277,1),"")</f>
        <v>D</v>
      </c>
      <c r="O277" s="3">
        <v>104</v>
      </c>
      <c r="P277" s="3" t="str">
        <f>IFERROR(MID(VLOOKUP($B277,Seqs!$A:$B,2,0),Q277,1),"")</f>
        <v>G</v>
      </c>
      <c r="Q277" s="3">
        <v>105</v>
      </c>
      <c r="R277" s="3" t="str">
        <f>IFERROR(MID(VLOOKUP($B277,Seqs!$A:$B,2,0),S277,1),"")</f>
        <v>L</v>
      </c>
      <c r="S277" s="3">
        <v>108</v>
      </c>
      <c r="T277" s="3" t="str">
        <f>IFERROR(MID(VLOOKUP($B277,Seqs!$A:$B,2,0),U277,1),"")</f>
        <v>G</v>
      </c>
      <c r="U277" s="3">
        <v>109</v>
      </c>
      <c r="V277" s="3" t="str">
        <f>IFERROR(MID(VLOOKUP($B277,Seqs!$A:$B,2,0),W277,1),"")</f>
        <v>H</v>
      </c>
      <c r="W277" s="3">
        <v>144</v>
      </c>
      <c r="X277" s="3" t="str">
        <f>IFERROR(MID(VLOOKUP($B277,Seqs!$A:$B,2,0),Y277,1),"")</f>
        <v>S</v>
      </c>
      <c r="Y277" s="3">
        <v>145</v>
      </c>
      <c r="Z277" s="3" t="str">
        <f>IFERROR(MID(VLOOKUP($B277,Seqs!$A:$B,2,0),AA277,1),"")</f>
        <v>Y</v>
      </c>
      <c r="AA277" s="3">
        <v>152</v>
      </c>
      <c r="AB277" s="3" t="str">
        <f>IFERROR(MID(VLOOKUP($B277,Seqs!$A:$B,2,0),AC277,1),"")</f>
        <v>R</v>
      </c>
      <c r="AC277" s="3">
        <v>153</v>
      </c>
      <c r="AD277" s="3" t="str">
        <f>IFERROR(MID(VLOOKUP($B277,Seqs!$A:$B,2,0),AE277,1),"")</f>
        <v>G</v>
      </c>
      <c r="AE277" s="3">
        <v>179</v>
      </c>
      <c r="AF277" s="3" t="str">
        <f>IFERROR(MID(VLOOKUP($B277,Seqs!$A:$B,2,0),AG277,1),"")</f>
        <v>C</v>
      </c>
      <c r="AG277" s="3">
        <v>190</v>
      </c>
      <c r="AH277" s="3" t="str">
        <f>IFERROR(MID(VLOOKUP($B277,Seqs!$A:$B,2,0),AI277,1),"")</f>
        <v>F</v>
      </c>
      <c r="AI277" s="3">
        <v>192</v>
      </c>
      <c r="AJ277" s="3" t="str">
        <f>IFERROR(MID(VLOOKUP($B277,Seqs!$A:$B,2,0),AK277,1),"")</f>
        <v>S</v>
      </c>
      <c r="AK277" s="3">
        <v>197</v>
      </c>
      <c r="AL277" s="3" t="str">
        <f>IFERROR(MID(VLOOKUP($B277,Seqs!$A:$B,2,0),AM277,1),"")</f>
        <v>A</v>
      </c>
      <c r="AM277" s="3">
        <v>230</v>
      </c>
      <c r="AN277" s="3" t="str">
        <f>IFERROR(MID(VLOOKUP($B277,Seqs!$A:$B,2,0),AO277,1),"")</f>
        <v>S</v>
      </c>
      <c r="AO277" s="3">
        <v>249</v>
      </c>
      <c r="AP277" s="3" t="str">
        <f>IFERROR(MID(VLOOKUP($B277,Seqs!$A:$B,2,0),AQ277,1),"")</f>
        <v>N</v>
      </c>
      <c r="AQ277" s="3">
        <v>277</v>
      </c>
      <c r="AR277" s="3" t="str">
        <f>IFERROR(MID(VLOOKUP($B277,Seqs!$A:$B,2,0),AS277,1),"")</f>
        <v>P</v>
      </c>
      <c r="AS277" s="3">
        <v>286</v>
      </c>
      <c r="AT277" s="3" t="str">
        <f>IFERROR(MID(VLOOKUP($B277,Seqs!$A:$B,2,0),AU277,1),"")</f>
        <v>L</v>
      </c>
      <c r="AU277" s="3">
        <v>311</v>
      </c>
      <c r="AV277" s="3" t="str">
        <f>IFERROR(MID(VLOOKUP($B277,Seqs!$A:$B,2,0),AW277,1),"")</f>
        <v>N</v>
      </c>
      <c r="AW277" s="3">
        <v>312</v>
      </c>
      <c r="AX277" s="3" t="str">
        <f>IFERROR(MID(VLOOKUP($B277,Seqs!$A:$B,2,0),AY277,1),"")</f>
        <v>N</v>
      </c>
      <c r="AY277" s="3">
        <v>328</v>
      </c>
      <c r="AZ277" s="77" t="str">
        <f>VLOOKUP(B277,Classification!A:D,2,0)</f>
        <v>A</v>
      </c>
      <c r="BA277" s="94" t="str">
        <f>VLOOKUP(B277,Classification!A:D,4,0)</f>
        <v>Melatonin</v>
      </c>
      <c r="BB277" s="27" t="b">
        <f t="shared" ref="BB277" si="2460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 t="shared" ref="BC277" si="2461">_xlfn.AGGREGATE(9,6,CH277:CS277)-_xlfn.AGGREGATE(9,6,BV277:CG277)+12</f>
        <v>249</v>
      </c>
      <c r="BD277" s="5" t="s">
        <v>1372</v>
      </c>
      <c r="BE277" s="3" t="s">
        <v>1370</v>
      </c>
      <c r="BF277" s="118">
        <v>3.2</v>
      </c>
      <c r="BG277" s="49" t="s">
        <v>1</v>
      </c>
      <c r="BH277" s="49" t="s">
        <v>1</v>
      </c>
      <c r="BI277" s="1"/>
      <c r="BJ277" s="70" t="s">
        <v>1283</v>
      </c>
      <c r="BK277" s="57" t="s">
        <v>1283</v>
      </c>
      <c r="BL277" s="57" t="s">
        <v>1283</v>
      </c>
      <c r="BM277" s="57" t="s">
        <v>1283</v>
      </c>
      <c r="BN277" s="57" t="s">
        <v>1283</v>
      </c>
      <c r="BO277" s="57" t="s">
        <v>1283</v>
      </c>
      <c r="BP277" s="57" t="s">
        <v>1283</v>
      </c>
      <c r="BQ277" s="57" t="s">
        <v>1283</v>
      </c>
      <c r="BR277" s="57" t="s">
        <v>1283</v>
      </c>
      <c r="BS277" s="57" t="s">
        <v>1283</v>
      </c>
      <c r="BT277" s="57" t="s">
        <v>1283</v>
      </c>
      <c r="BU277" s="57" t="s">
        <v>1283</v>
      </c>
      <c r="BV277" s="70">
        <f t="shared" ref="BV277" si="2462">E277</f>
        <v>38</v>
      </c>
      <c r="BW277" s="71">
        <f t="shared" ref="BW277" si="2463">I277</f>
        <v>69</v>
      </c>
      <c r="BX277" s="72">
        <f t="shared" ref="BX277" si="2464">M277</f>
        <v>75</v>
      </c>
      <c r="BY277" s="71">
        <f t="shared" ref="BY277" si="2465">Q277</f>
        <v>105</v>
      </c>
      <c r="BZ277" s="72">
        <f t="shared" ref="BZ277" si="2466">U277</f>
        <v>109</v>
      </c>
      <c r="CA277" s="71">
        <f t="shared" ref="CA277" si="2467">Y277</f>
        <v>145</v>
      </c>
      <c r="CB277" s="72">
        <f t="shared" ref="CB277" si="2468">AC277</f>
        <v>153</v>
      </c>
      <c r="CC277" s="71">
        <f t="shared" ref="CC277" si="2469">AG277</f>
        <v>190</v>
      </c>
      <c r="CD277" s="72">
        <f t="shared" ref="CD277" si="2470">AK277</f>
        <v>197</v>
      </c>
      <c r="CE277" s="71">
        <f t="shared" ref="CE277" si="2471">AO277</f>
        <v>249</v>
      </c>
      <c r="CF277" s="72">
        <f t="shared" ref="CF277" si="2472">AS277</f>
        <v>286</v>
      </c>
      <c r="CG277" s="71">
        <f t="shared" ref="CG277" si="2473">AW277</f>
        <v>312</v>
      </c>
      <c r="CH277" s="70">
        <f t="shared" ref="CH277" si="2474">G277</f>
        <v>68</v>
      </c>
      <c r="CI277" s="71">
        <f t="shared" ref="CI277" si="2475">K277</f>
        <v>72</v>
      </c>
      <c r="CJ277" s="72">
        <f t="shared" ref="CJ277" si="2476">O277</f>
        <v>104</v>
      </c>
      <c r="CK277" s="72">
        <f t="shared" ref="CK277" si="2477">S277</f>
        <v>108</v>
      </c>
      <c r="CL277" s="72">
        <f t="shared" ref="CL277" si="2478">W277</f>
        <v>144</v>
      </c>
      <c r="CM277" s="72">
        <f t="shared" ref="CM277" si="2479">AA277</f>
        <v>152</v>
      </c>
      <c r="CN277" s="72">
        <f t="shared" ref="CN277" si="2480">AE277</f>
        <v>179</v>
      </c>
      <c r="CO277" s="72">
        <f t="shared" ref="CO277" si="2481">AI277</f>
        <v>192</v>
      </c>
      <c r="CP277" s="72">
        <f t="shared" ref="CP277" si="2482">AM277</f>
        <v>230</v>
      </c>
      <c r="CQ277" s="72">
        <f t="shared" ref="CQ277" si="2483">AQ277</f>
        <v>277</v>
      </c>
      <c r="CR277" s="72">
        <f t="shared" ref="CR277" si="2484">AU277</f>
        <v>311</v>
      </c>
      <c r="CS277" s="72">
        <f t="shared" ref="CS277" si="2485">AY277</f>
        <v>328</v>
      </c>
      <c r="CT277" s="23">
        <f t="shared" ref="CT277" si="2486">M277-K277</f>
        <v>3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ref="A278" si="2487">CONCATENATE(B278,"_",C278)</f>
        <v>mtr1b_human_6ME8</v>
      </c>
      <c r="B278" s="3" t="s">
        <v>311</v>
      </c>
      <c r="C278" s="3" t="s">
        <v>1566</v>
      </c>
      <c r="D278" s="3" t="str">
        <f>IFERROR(MID(VLOOKUP($B278,Seqs!$A:$B,2,0),E278,1),"")</f>
        <v>W</v>
      </c>
      <c r="E278" s="3">
        <v>38</v>
      </c>
      <c r="F278" s="3" t="str">
        <f>IFERROR(MID(VLOOKUP($B278,Seqs!$A:$B,2,0),G278,1),"")</f>
        <v>R</v>
      </c>
      <c r="G278" s="3">
        <v>67</v>
      </c>
      <c r="H278" s="3" t="str">
        <f>IFERROR(MID(VLOOKUP($B278,Seqs!$A:$B,2,0),I278,1),"")</f>
        <v>R</v>
      </c>
      <c r="I278" s="23">
        <v>69</v>
      </c>
      <c r="J278" s="3" t="str">
        <f>IFERROR(MID(VLOOKUP($B278,Seqs!$A:$B,2,0),K278,1),"")</f>
        <v>R</v>
      </c>
      <c r="K278" s="23">
        <v>72</v>
      </c>
      <c r="L278" s="3" t="str">
        <f>IFERROR(MID(VLOOKUP($B278,Seqs!$A:$B,2,0),M278,1),"")</f>
        <v>N</v>
      </c>
      <c r="M278" s="3">
        <v>73</v>
      </c>
      <c r="N278" s="3" t="str">
        <f>IFERROR(MID(VLOOKUP($B278,Seqs!$A:$B,2,0),O278,1),"")</f>
        <v>D</v>
      </c>
      <c r="O278" s="3">
        <v>104</v>
      </c>
      <c r="P278" s="3" t="str">
        <f>IFERROR(MID(VLOOKUP($B278,Seqs!$A:$B,2,0),Q278,1),"")</f>
        <v>G</v>
      </c>
      <c r="Q278" s="3">
        <v>105</v>
      </c>
      <c r="R278" s="3" t="str">
        <f>IFERROR(MID(VLOOKUP($B278,Seqs!$A:$B,2,0),S278,1),"")</f>
        <v>L</v>
      </c>
      <c r="S278" s="3">
        <v>108</v>
      </c>
      <c r="T278" s="3" t="str">
        <f>IFERROR(MID(VLOOKUP($B278,Seqs!$A:$B,2,0),U278,1),"")</f>
        <v>G</v>
      </c>
      <c r="U278" s="3">
        <v>109</v>
      </c>
      <c r="V278" s="3" t="str">
        <f>IFERROR(MID(VLOOKUP($B278,Seqs!$A:$B,2,0),W278,1),"")</f>
        <v>C</v>
      </c>
      <c r="W278" s="3">
        <v>143</v>
      </c>
      <c r="X278" s="3" t="str">
        <f>IFERROR(MID(VLOOKUP($B278,Seqs!$A:$B,2,0),Y278,1),"")</f>
        <v>S</v>
      </c>
      <c r="Y278" s="3">
        <v>145</v>
      </c>
      <c r="Z278" s="3" t="str">
        <f>IFERROR(MID(VLOOKUP($B278,Seqs!$A:$B,2,0),AA278,1),"")</f>
        <v>Y</v>
      </c>
      <c r="AA278" s="3">
        <v>152</v>
      </c>
      <c r="AB278" s="3" t="str">
        <f>IFERROR(MID(VLOOKUP($B278,Seqs!$A:$B,2,0),AC278,1),"")</f>
        <v>H</v>
      </c>
      <c r="AC278" s="3">
        <v>156</v>
      </c>
      <c r="AD278" s="3" t="str">
        <f>IFERROR(MID(VLOOKUP($B278,Seqs!$A:$B,2,0),AE278,1),"")</f>
        <v>G</v>
      </c>
      <c r="AE278" s="3">
        <v>179</v>
      </c>
      <c r="AF278" s="3" t="str">
        <f>IFERROR(MID(VLOOKUP($B278,Seqs!$A:$B,2,0),AG278,1),"")</f>
        <v>C</v>
      </c>
      <c r="AG278" s="3">
        <v>190</v>
      </c>
      <c r="AH278" s="3" t="str">
        <f>IFERROR(MID(VLOOKUP($B278,Seqs!$A:$B,2,0),AI278,1),"")</f>
        <v>F</v>
      </c>
      <c r="AI278" s="3">
        <v>192</v>
      </c>
      <c r="AJ278" s="3" t="str">
        <f>IFERROR(MID(VLOOKUP($B278,Seqs!$A:$B,2,0),AK278,1),"")</f>
        <v>S</v>
      </c>
      <c r="AK278" s="3">
        <v>197</v>
      </c>
      <c r="AL278" s="3" t="str">
        <f>IFERROR(MID(VLOOKUP($B278,Seqs!$A:$B,2,0),AM278,1),"")</f>
        <v>A</v>
      </c>
      <c r="AM278" s="3">
        <v>230</v>
      </c>
      <c r="AN278" s="3" t="str">
        <f>IFERROR(MID(VLOOKUP($B278,Seqs!$A:$B,2,0),AO278,1),"")</f>
        <v>F</v>
      </c>
      <c r="AO278" s="3">
        <v>250</v>
      </c>
      <c r="AP278" s="3" t="str">
        <f>IFERROR(MID(VLOOKUP($B278,Seqs!$A:$B,2,0),AQ278,1),"")</f>
        <v>N</v>
      </c>
      <c r="AQ278" s="3">
        <v>277</v>
      </c>
      <c r="AR278" s="3" t="str">
        <f>IFERROR(MID(VLOOKUP($B278,Seqs!$A:$B,2,0),AS278,1),"")</f>
        <v>P</v>
      </c>
      <c r="AS278" s="3">
        <v>286</v>
      </c>
      <c r="AT278" s="3" t="str">
        <f>IFERROR(MID(VLOOKUP($B278,Seqs!$A:$B,2,0),AU278,1),"")</f>
        <v>L</v>
      </c>
      <c r="AU278" s="3">
        <v>311</v>
      </c>
      <c r="AV278" s="3" t="str">
        <f>IFERROR(MID(VLOOKUP($B278,Seqs!$A:$B,2,0),AW278,1),"")</f>
        <v>N</v>
      </c>
      <c r="AW278" s="3">
        <v>312</v>
      </c>
      <c r="AX278" s="3" t="str">
        <f>IFERROR(MID(VLOOKUP($B278,Seqs!$A:$B,2,0),AY278,1),"")</f>
        <v>N</v>
      </c>
      <c r="AY278" s="3">
        <v>328</v>
      </c>
      <c r="AZ278" s="77" t="str">
        <f>VLOOKUP(B278,Classification!A:D,2,0)</f>
        <v>A</v>
      </c>
      <c r="BA278" s="94" t="str">
        <f>VLOOKUP(B278,Classification!A:D,4,0)</f>
        <v>Melatonin</v>
      </c>
      <c r="BB278" s="27" t="b">
        <f t="shared" ref="BB278" si="2488"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 t="shared" ref="BC278" si="2489">_xlfn.AGGREGATE(9,6,CH278:CS278)-_xlfn.AGGREGATE(9,6,BV278:CG278)+12</f>
        <v>245</v>
      </c>
      <c r="BD278" s="5" t="s">
        <v>23</v>
      </c>
      <c r="BE278" s="3" t="s">
        <v>1370</v>
      </c>
      <c r="BF278" s="118">
        <v>3.1</v>
      </c>
      <c r="BG278" s="49" t="s">
        <v>1277</v>
      </c>
      <c r="BH278" s="49" t="s">
        <v>1277</v>
      </c>
      <c r="BI278" s="1"/>
      <c r="BJ278" s="70" t="s">
        <v>1283</v>
      </c>
      <c r="BK278" s="57" t="s">
        <v>1283</v>
      </c>
      <c r="BL278" s="57" t="s">
        <v>1283</v>
      </c>
      <c r="BM278" s="57" t="s">
        <v>1283</v>
      </c>
      <c r="BN278" s="57" t="s">
        <v>1283</v>
      </c>
      <c r="BO278" s="57" t="s">
        <v>1283</v>
      </c>
      <c r="BP278" s="57" t="s">
        <v>1283</v>
      </c>
      <c r="BQ278" s="57" t="s">
        <v>1283</v>
      </c>
      <c r="BR278" s="57" t="s">
        <v>1283</v>
      </c>
      <c r="BS278" s="57" t="s">
        <v>1283</v>
      </c>
      <c r="BT278" s="57" t="s">
        <v>1283</v>
      </c>
      <c r="BU278" s="57" t="s">
        <v>1283</v>
      </c>
      <c r="BV278" s="70">
        <f t="shared" ref="BV278" si="2490">E278</f>
        <v>38</v>
      </c>
      <c r="BW278" s="71">
        <f t="shared" ref="BW278" si="2491">I278</f>
        <v>69</v>
      </c>
      <c r="BX278" s="72">
        <f t="shared" ref="BX278" si="2492">M278</f>
        <v>73</v>
      </c>
      <c r="BY278" s="71">
        <f t="shared" ref="BY278" si="2493">Q278</f>
        <v>105</v>
      </c>
      <c r="BZ278" s="72">
        <f t="shared" ref="BZ278" si="2494">U278</f>
        <v>109</v>
      </c>
      <c r="CA278" s="71">
        <f t="shared" ref="CA278" si="2495">Y278</f>
        <v>145</v>
      </c>
      <c r="CB278" s="72">
        <f t="shared" ref="CB278" si="2496">AC278</f>
        <v>156</v>
      </c>
      <c r="CC278" s="71">
        <f t="shared" ref="CC278" si="2497">AG278</f>
        <v>190</v>
      </c>
      <c r="CD278" s="72">
        <f t="shared" ref="CD278" si="2498">AK278</f>
        <v>197</v>
      </c>
      <c r="CE278" s="71">
        <f t="shared" ref="CE278" si="2499">AO278</f>
        <v>250</v>
      </c>
      <c r="CF278" s="72">
        <f t="shared" ref="CF278" si="2500">AS278</f>
        <v>286</v>
      </c>
      <c r="CG278" s="71">
        <f t="shared" ref="CG278" si="2501">AW278</f>
        <v>312</v>
      </c>
      <c r="CH278" s="70">
        <f t="shared" ref="CH278" si="2502">G278</f>
        <v>67</v>
      </c>
      <c r="CI278" s="71">
        <f t="shared" ref="CI278" si="2503">K278</f>
        <v>72</v>
      </c>
      <c r="CJ278" s="72">
        <f t="shared" ref="CJ278" si="2504">O278</f>
        <v>104</v>
      </c>
      <c r="CK278" s="72">
        <f t="shared" ref="CK278" si="2505">S278</f>
        <v>108</v>
      </c>
      <c r="CL278" s="72">
        <f t="shared" ref="CL278" si="2506">W278</f>
        <v>143</v>
      </c>
      <c r="CM278" s="72">
        <f t="shared" ref="CM278" si="2507">AA278</f>
        <v>152</v>
      </c>
      <c r="CN278" s="72">
        <f t="shared" ref="CN278" si="2508">AE278</f>
        <v>179</v>
      </c>
      <c r="CO278" s="72">
        <f t="shared" ref="CO278" si="2509">AI278</f>
        <v>192</v>
      </c>
      <c r="CP278" s="72">
        <f t="shared" ref="CP278" si="2510">AM278</f>
        <v>230</v>
      </c>
      <c r="CQ278" s="72">
        <f t="shared" ref="CQ278" si="2511">AQ278</f>
        <v>277</v>
      </c>
      <c r="CR278" s="72">
        <f t="shared" ref="CR278" si="2512">AU278</f>
        <v>311</v>
      </c>
      <c r="CS278" s="72">
        <f t="shared" ref="CS278" si="2513">AY278</f>
        <v>328</v>
      </c>
      <c r="CT278" s="23">
        <f t="shared" ref="CT278" si="2514"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ref="A279" si="2515">CONCATENATE(B279,"_",C279)</f>
        <v>mtr1b_human_6ME9</v>
      </c>
      <c r="B279" s="3" t="s">
        <v>311</v>
      </c>
      <c r="C279" s="3" t="s">
        <v>1567</v>
      </c>
      <c r="D279" s="3" t="str">
        <f>IFERROR(MID(VLOOKUP($B279,Seqs!$A:$B,2,0),E279,1),"")</f>
        <v>W</v>
      </c>
      <c r="E279" s="3">
        <v>38</v>
      </c>
      <c r="F279" s="3" t="str">
        <f>IFERROR(MID(VLOOKUP($B279,Seqs!$A:$B,2,0),G279,1),"")</f>
        <v>R</v>
      </c>
      <c r="G279" s="3">
        <v>67</v>
      </c>
      <c r="H279" s="3" t="str">
        <f>IFERROR(MID(VLOOKUP($B279,Seqs!$A:$B,2,0),I279,1),"")</f>
        <v>R</v>
      </c>
      <c r="I279" s="23">
        <v>69</v>
      </c>
      <c r="J279" s="3" t="str">
        <f>IFERROR(MID(VLOOKUP($B279,Seqs!$A:$B,2,0),K279,1),"")</f>
        <v>R</v>
      </c>
      <c r="K279" s="23">
        <v>72</v>
      </c>
      <c r="L279" s="3" t="str">
        <f>IFERROR(MID(VLOOKUP($B279,Seqs!$A:$B,2,0),M279,1),"")</f>
        <v>N</v>
      </c>
      <c r="M279" s="3">
        <v>73</v>
      </c>
      <c r="N279" s="3" t="str">
        <f>IFERROR(MID(VLOOKUP($B279,Seqs!$A:$B,2,0),O279,1),"")</f>
        <v>D</v>
      </c>
      <c r="O279" s="3">
        <v>104</v>
      </c>
      <c r="P279" s="3" t="str">
        <f>IFERROR(MID(VLOOKUP($B279,Seqs!$A:$B,2,0),Q279,1),"")</f>
        <v>G</v>
      </c>
      <c r="Q279" s="3">
        <v>105</v>
      </c>
      <c r="R279" s="3" t="str">
        <f>IFERROR(MID(VLOOKUP($B279,Seqs!$A:$B,2,0),S279,1),"")</f>
        <v>L</v>
      </c>
      <c r="S279" s="3">
        <v>108</v>
      </c>
      <c r="T279" s="3" t="str">
        <f>IFERROR(MID(VLOOKUP($B279,Seqs!$A:$B,2,0),U279,1),"")</f>
        <v>G</v>
      </c>
      <c r="U279" s="3">
        <v>109</v>
      </c>
      <c r="V279" s="3" t="str">
        <f>IFERROR(MID(VLOOKUP($B279,Seqs!$A:$B,2,0),W279,1),"")</f>
        <v>C</v>
      </c>
      <c r="W279" s="3">
        <v>143</v>
      </c>
      <c r="X279" s="3" t="str">
        <f>IFERROR(MID(VLOOKUP($B279,Seqs!$A:$B,2,0),Y279,1),"")</f>
        <v>S</v>
      </c>
      <c r="Y279" s="3">
        <v>145</v>
      </c>
      <c r="Z279" s="3" t="str">
        <f>IFERROR(MID(VLOOKUP($B279,Seqs!$A:$B,2,0),AA279,1),"")</f>
        <v>Y</v>
      </c>
      <c r="AA279" s="3">
        <v>152</v>
      </c>
      <c r="AB279" s="3" t="str">
        <f>IFERROR(MID(VLOOKUP($B279,Seqs!$A:$B,2,0),AC279,1),"")</f>
        <v>H</v>
      </c>
      <c r="AC279" s="3">
        <v>156</v>
      </c>
      <c r="AD279" s="3" t="str">
        <f>IFERROR(MID(VLOOKUP($B279,Seqs!$A:$B,2,0),AE279,1),"")</f>
        <v>G</v>
      </c>
      <c r="AE279" s="3">
        <v>179</v>
      </c>
      <c r="AF279" s="3" t="str">
        <f>IFERROR(MID(VLOOKUP($B279,Seqs!$A:$B,2,0),AG279,1),"")</f>
        <v>C</v>
      </c>
      <c r="AG279" s="3">
        <v>190</v>
      </c>
      <c r="AH279" s="3" t="str">
        <f>IFERROR(MID(VLOOKUP($B279,Seqs!$A:$B,2,0),AI279,1),"")</f>
        <v>F</v>
      </c>
      <c r="AI279" s="3">
        <v>192</v>
      </c>
      <c r="AJ279" s="3" t="str">
        <f>IFERROR(MID(VLOOKUP($B279,Seqs!$A:$B,2,0),AK279,1),"")</f>
        <v>S</v>
      </c>
      <c r="AK279" s="3">
        <v>197</v>
      </c>
      <c r="AL279" s="3" t="str">
        <f>IFERROR(MID(VLOOKUP($B279,Seqs!$A:$B,2,0),AM279,1),"")</f>
        <v>A</v>
      </c>
      <c r="AM279" s="3">
        <v>230</v>
      </c>
      <c r="AN279" s="3" t="str">
        <f>IFERROR(MID(VLOOKUP($B279,Seqs!$A:$B,2,0),AO279,1),"")</f>
        <v>F</v>
      </c>
      <c r="AO279" s="3">
        <v>250</v>
      </c>
      <c r="AP279" s="3" t="str">
        <f>IFERROR(MID(VLOOKUP($B279,Seqs!$A:$B,2,0),AQ279,1),"")</f>
        <v>N</v>
      </c>
      <c r="AQ279" s="3">
        <v>277</v>
      </c>
      <c r="AR279" s="3" t="str">
        <f>IFERROR(MID(VLOOKUP($B279,Seqs!$A:$B,2,0),AS279,1),"")</f>
        <v>P</v>
      </c>
      <c r="AS279" s="3">
        <v>286</v>
      </c>
      <c r="AT279" s="3" t="str">
        <f>IFERROR(MID(VLOOKUP($B279,Seqs!$A:$B,2,0),AU279,1),"")</f>
        <v>L</v>
      </c>
      <c r="AU279" s="3">
        <v>311</v>
      </c>
      <c r="AV279" s="3" t="str">
        <f>IFERROR(MID(VLOOKUP($B279,Seqs!$A:$B,2,0),AW279,1),"")</f>
        <v>N</v>
      </c>
      <c r="AW279" s="3">
        <v>312</v>
      </c>
      <c r="AX279" s="3" t="str">
        <f>IFERROR(MID(VLOOKUP($B279,Seqs!$A:$B,2,0),AY279,1),"")</f>
        <v>N</v>
      </c>
      <c r="AY279" s="3">
        <v>328</v>
      </c>
      <c r="AZ279" s="77" t="str">
        <f>VLOOKUP(B279,Classification!A:D,2,0)</f>
        <v>A</v>
      </c>
      <c r="BA279" s="94" t="str">
        <f>VLOOKUP(B279,Classification!A:D,4,0)</f>
        <v>Melatonin</v>
      </c>
      <c r="BB279" s="27" t="b">
        <f t="shared" ref="BB279" si="2516"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 t="shared" ref="BC279" si="2517">_xlfn.AGGREGATE(9,6,CH279:CS279)-_xlfn.AGGREGATE(9,6,BV279:CG279)+12</f>
        <v>245</v>
      </c>
      <c r="BD279" s="5" t="s">
        <v>23</v>
      </c>
      <c r="BE279" s="3" t="s">
        <v>1370</v>
      </c>
      <c r="BF279" s="118">
        <v>3.3</v>
      </c>
      <c r="BG279" s="49" t="s">
        <v>1277</v>
      </c>
      <c r="BH279" s="49" t="s">
        <v>1277</v>
      </c>
      <c r="BI279" s="1"/>
      <c r="BJ279" s="70" t="s">
        <v>1283</v>
      </c>
      <c r="BK279" s="57" t="s">
        <v>1283</v>
      </c>
      <c r="BL279" s="57" t="s">
        <v>1283</v>
      </c>
      <c r="BM279" s="57" t="s">
        <v>1283</v>
      </c>
      <c r="BN279" s="57" t="s">
        <v>1283</v>
      </c>
      <c r="BO279" s="57" t="s">
        <v>1283</v>
      </c>
      <c r="BP279" s="57" t="s">
        <v>1283</v>
      </c>
      <c r="BQ279" s="57" t="s">
        <v>1283</v>
      </c>
      <c r="BR279" s="57" t="s">
        <v>1283</v>
      </c>
      <c r="BS279" s="57" t="s">
        <v>1283</v>
      </c>
      <c r="BT279" s="57" t="s">
        <v>1283</v>
      </c>
      <c r="BU279" s="57" t="s">
        <v>1283</v>
      </c>
      <c r="BV279" s="70">
        <f t="shared" ref="BV279" si="2518">E279</f>
        <v>38</v>
      </c>
      <c r="BW279" s="71">
        <f t="shared" ref="BW279" si="2519">I279</f>
        <v>69</v>
      </c>
      <c r="BX279" s="72">
        <f t="shared" ref="BX279" si="2520">M279</f>
        <v>73</v>
      </c>
      <c r="BY279" s="71">
        <f t="shared" ref="BY279" si="2521">Q279</f>
        <v>105</v>
      </c>
      <c r="BZ279" s="72">
        <f t="shared" ref="BZ279" si="2522">U279</f>
        <v>109</v>
      </c>
      <c r="CA279" s="71">
        <f t="shared" ref="CA279" si="2523">Y279</f>
        <v>145</v>
      </c>
      <c r="CB279" s="72">
        <f t="shared" ref="CB279" si="2524">AC279</f>
        <v>156</v>
      </c>
      <c r="CC279" s="71">
        <f t="shared" ref="CC279" si="2525">AG279</f>
        <v>190</v>
      </c>
      <c r="CD279" s="72">
        <f t="shared" ref="CD279" si="2526">AK279</f>
        <v>197</v>
      </c>
      <c r="CE279" s="71">
        <f t="shared" ref="CE279" si="2527">AO279</f>
        <v>250</v>
      </c>
      <c r="CF279" s="72">
        <f t="shared" ref="CF279" si="2528">AS279</f>
        <v>286</v>
      </c>
      <c r="CG279" s="71">
        <f t="shared" ref="CG279" si="2529">AW279</f>
        <v>312</v>
      </c>
      <c r="CH279" s="70">
        <f t="shared" ref="CH279" si="2530">G279</f>
        <v>67</v>
      </c>
      <c r="CI279" s="71">
        <f t="shared" ref="CI279" si="2531">K279</f>
        <v>72</v>
      </c>
      <c r="CJ279" s="72">
        <f t="shared" ref="CJ279" si="2532">O279</f>
        <v>104</v>
      </c>
      <c r="CK279" s="72">
        <f t="shared" ref="CK279" si="2533">S279</f>
        <v>108</v>
      </c>
      <c r="CL279" s="72">
        <f t="shared" ref="CL279" si="2534">W279</f>
        <v>143</v>
      </c>
      <c r="CM279" s="72">
        <f t="shared" ref="CM279" si="2535">AA279</f>
        <v>152</v>
      </c>
      <c r="CN279" s="72">
        <f t="shared" ref="CN279" si="2536">AE279</f>
        <v>179</v>
      </c>
      <c r="CO279" s="72">
        <f t="shared" ref="CO279" si="2537">AI279</f>
        <v>192</v>
      </c>
      <c r="CP279" s="72">
        <f t="shared" ref="CP279" si="2538">AM279</f>
        <v>230</v>
      </c>
      <c r="CQ279" s="72">
        <f t="shared" ref="CQ279" si="2539">AQ279</f>
        <v>277</v>
      </c>
      <c r="CR279" s="72">
        <f t="shared" ref="CR279" si="2540">AU279</f>
        <v>311</v>
      </c>
      <c r="CS279" s="72">
        <f t="shared" ref="CS279" si="2541">AY279</f>
        <v>328</v>
      </c>
      <c r="CT279" s="23">
        <f t="shared" ref="CT279" si="2542"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ref="A280" si="2543">CONCATENATE(B280,"_",C280)</f>
        <v>nk1r_human__wt</v>
      </c>
      <c r="B280" s="3" t="s">
        <v>313</v>
      </c>
      <c r="C280" s="129" t="s">
        <v>100</v>
      </c>
      <c r="D280" s="3" t="str">
        <f>IFERROR(MID(VLOOKUP($B280,Seqs!$A:$B,2,0),E280,1),"")</f>
        <v>P</v>
      </c>
      <c r="E280" s="3">
        <v>28</v>
      </c>
      <c r="F280" s="3" t="str">
        <f>IFERROR(MID(VLOOKUP($B280,Seqs!$A:$B,2,0),G280,1),"")</f>
        <v>H</v>
      </c>
      <c r="G280" s="3">
        <v>60</v>
      </c>
      <c r="H280" s="3" t="str">
        <f>IFERROR(MID(VLOOKUP($B280,Seqs!$A:$B,2,0),I280,1),"")</f>
        <v>K</v>
      </c>
      <c r="I280" s="23">
        <v>61</v>
      </c>
      <c r="J280" s="3" t="str">
        <f>IFERROR(MID(VLOOKUP($B280,Seqs!$A:$B,2,0),K280,1),"")</f>
        <v>R</v>
      </c>
      <c r="K280" s="23">
        <v>64</v>
      </c>
      <c r="L280" s="3" t="str">
        <f>IFERROR(MID(VLOOKUP($B280,Seqs!$A:$B,2,0),M280,1),"")</f>
        <v>T</v>
      </c>
      <c r="M280" s="3">
        <v>65</v>
      </c>
      <c r="N280" s="3" t="str">
        <f>IFERROR(MID(VLOOKUP($B280,Seqs!$A:$B,2,0),O280,1),"")</f>
        <v>N</v>
      </c>
      <c r="O280" s="3">
        <v>96</v>
      </c>
      <c r="P280" s="3" t="str">
        <f>IFERROR(MID(VLOOKUP($B280,Seqs!$A:$B,2,0),Q280,1),"")</f>
        <v>E</v>
      </c>
      <c r="Q280" s="3">
        <v>97</v>
      </c>
      <c r="R280" s="3" t="str">
        <f>IFERROR(MID(VLOOKUP($B280,Seqs!$A:$B,2,0),S280,1),"")</f>
        <v>Y</v>
      </c>
      <c r="S280" s="3">
        <v>100</v>
      </c>
      <c r="T280" s="3" t="str">
        <f>IFERROR(MID(VLOOKUP($B280,Seqs!$A:$B,2,0),U280,1),"")</f>
        <v>G</v>
      </c>
      <c r="U280" s="3">
        <v>101</v>
      </c>
      <c r="V280" s="3" t="str">
        <f>IFERROR(MID(VLOOKUP($B280,Seqs!$A:$B,2,0),W280,1),"")</f>
        <v>H</v>
      </c>
      <c r="W280" s="3">
        <v>136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S</v>
      </c>
      <c r="AC280" s="3">
        <v>143</v>
      </c>
      <c r="AD280" s="3" t="str">
        <f>IFERROR(MID(VLOOKUP($B280,Seqs!$A:$B,2,0),AE280,1),"")</f>
        <v>S</v>
      </c>
      <c r="AE280" s="3">
        <v>169</v>
      </c>
      <c r="AF280" s="3" t="str">
        <f>IFERROR(MID(VLOOKUP($B280,Seqs!$A:$B,2,0),AG280,1),"")</f>
        <v>C</v>
      </c>
      <c r="AG280" s="3">
        <v>180</v>
      </c>
      <c r="AH280" s="3" t="str">
        <f>IFERROR(MID(VLOOKUP($B280,Seqs!$A:$B,2,0),AI280,1),"")</f>
        <v>I</v>
      </c>
      <c r="AI280" s="3">
        <v>182</v>
      </c>
      <c r="AJ280" s="3" t="str">
        <f>IFERROR(MID(VLOOKUP($B280,Seqs!$A:$B,2,0),AK280,1),"")</f>
        <v>P</v>
      </c>
      <c r="AK280" s="3">
        <v>188</v>
      </c>
      <c r="AL280" s="3" t="str">
        <f>IFERROR(MID(VLOOKUP($B280,Seqs!$A:$B,2,0),AM280,1),"")</f>
        <v>D</v>
      </c>
      <c r="AM280" s="3">
        <v>231</v>
      </c>
      <c r="AN280" s="3" t="str">
        <f>IFERROR(MID(VLOOKUP($B280,Seqs!$A:$B,2,0),AO280,1),"")</f>
        <v>R</v>
      </c>
      <c r="AO280" s="3">
        <v>235</v>
      </c>
      <c r="AP280" s="3" t="str">
        <f>IFERROR(MID(VLOOKUP($B280,Seqs!$A:$B,2,0),AQ280,1),"")</f>
        <v>N</v>
      </c>
      <c r="AQ280" s="3">
        <v>274</v>
      </c>
      <c r="AR280" s="3" t="str">
        <f>IFERROR(MID(VLOOKUP($B280,Seqs!$A:$B,2,0),AS280,1),"")</f>
        <v>F</v>
      </c>
      <c r="AS280" s="3">
        <v>282</v>
      </c>
      <c r="AT280" s="3" t="str">
        <f>IFERROR(MID(VLOOKUP($B280,Seqs!$A:$B,2,0),AU280,1),"")</f>
        <v>L</v>
      </c>
      <c r="AU280" s="3">
        <v>308</v>
      </c>
      <c r="AV280" s="3" t="str">
        <f>IFERROR(MID(VLOOKUP($B280,Seqs!$A:$B,2,0),AW280,1),"")</f>
        <v>N</v>
      </c>
      <c r="AW280" s="3">
        <v>309</v>
      </c>
      <c r="AX280" s="3" t="str">
        <f>IFERROR(MID(VLOOKUP($B280,Seqs!$A:$B,2,0),AY280,1),"")</f>
        <v>F</v>
      </c>
      <c r="AY280" s="3">
        <v>320</v>
      </c>
      <c r="AZ280" s="77" t="str">
        <f>VLOOKUP(B280,Classification!A:D,2,0)</f>
        <v>A</v>
      </c>
      <c r="BA280" s="94" t="str">
        <f>VLOOKUP(B280,Classification!A:D,4,0)</f>
        <v>Tachykinin</v>
      </c>
      <c r="BB280" s="27" t="b">
        <f t="shared" ref="BB280" si="2544"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 t="shared" ref="BC280" si="2545">_xlfn.AGGREGATE(9,6,CH280:CS280)-_xlfn.AGGREGATE(9,6,BV280:CG280)+12</f>
        <v>263</v>
      </c>
      <c r="BD280" s="5" t="s">
        <v>23</v>
      </c>
      <c r="BE280" s="3" t="s">
        <v>23</v>
      </c>
      <c r="BF280" s="118" t="s">
        <v>23</v>
      </c>
      <c r="BG280" s="49" t="s">
        <v>1373</v>
      </c>
      <c r="BH280" s="49" t="s">
        <v>1373</v>
      </c>
      <c r="BI280" s="1"/>
      <c r="BJ280" s="70" t="s">
        <v>1283</v>
      </c>
      <c r="BK280" s="57" t="s">
        <v>1283</v>
      </c>
      <c r="BL280" s="57" t="s">
        <v>1283</v>
      </c>
      <c r="BM280" s="57" t="s">
        <v>1283</v>
      </c>
      <c r="BN280" s="57" t="s">
        <v>1283</v>
      </c>
      <c r="BO280" s="57" t="s">
        <v>1283</v>
      </c>
      <c r="BP280" s="57" t="s">
        <v>1283</v>
      </c>
      <c r="BQ280" s="57" t="s">
        <v>1283</v>
      </c>
      <c r="BR280" s="57" t="s">
        <v>1283</v>
      </c>
      <c r="BS280" s="57" t="s">
        <v>1283</v>
      </c>
      <c r="BT280" s="57" t="s">
        <v>1283</v>
      </c>
      <c r="BU280" s="57" t="s">
        <v>1283</v>
      </c>
      <c r="BV280" s="70">
        <f t="shared" ref="BV280" si="2546">E280</f>
        <v>28</v>
      </c>
      <c r="BW280" s="71">
        <f t="shared" ref="BW280" si="2547">I280</f>
        <v>61</v>
      </c>
      <c r="BX280" s="72">
        <f t="shared" ref="BX280" si="2548">M280</f>
        <v>65</v>
      </c>
      <c r="BY280" s="71">
        <f t="shared" ref="BY280" si="2549">Q280</f>
        <v>97</v>
      </c>
      <c r="BZ280" s="72">
        <f t="shared" ref="BZ280" si="2550">U280</f>
        <v>101</v>
      </c>
      <c r="CA280" s="71" t="str">
        <f t="shared" ref="CA280" si="2551">Y280</f>
        <v>-</v>
      </c>
      <c r="CB280" s="72">
        <f t="shared" ref="CB280" si="2552">AC280</f>
        <v>143</v>
      </c>
      <c r="CC280" s="71">
        <f t="shared" ref="CC280" si="2553">AG280</f>
        <v>180</v>
      </c>
      <c r="CD280" s="72">
        <f t="shared" ref="CD280" si="2554">AK280</f>
        <v>188</v>
      </c>
      <c r="CE280" s="71">
        <f t="shared" ref="CE280" si="2555">AO280</f>
        <v>235</v>
      </c>
      <c r="CF280" s="72">
        <f t="shared" ref="CF280" si="2556">AS280</f>
        <v>282</v>
      </c>
      <c r="CG280" s="71">
        <f t="shared" ref="CG280" si="2557">AW280</f>
        <v>309</v>
      </c>
      <c r="CH280" s="70">
        <f t="shared" ref="CH280" si="2558">G280</f>
        <v>60</v>
      </c>
      <c r="CI280" s="71">
        <f t="shared" ref="CI280" si="2559">K280</f>
        <v>64</v>
      </c>
      <c r="CJ280" s="72">
        <f t="shared" ref="CJ280" si="2560">O280</f>
        <v>96</v>
      </c>
      <c r="CK280" s="72">
        <f t="shared" ref="CK280" si="2561">S280</f>
        <v>100</v>
      </c>
      <c r="CL280" s="72">
        <f t="shared" ref="CL280" si="2562">W280</f>
        <v>136</v>
      </c>
      <c r="CM280" s="72" t="str">
        <f t="shared" ref="CM280" si="2563">AA280</f>
        <v>-</v>
      </c>
      <c r="CN280" s="72">
        <f t="shared" ref="CN280" si="2564">AE280</f>
        <v>169</v>
      </c>
      <c r="CO280" s="72">
        <f t="shared" ref="CO280" si="2565">AI280</f>
        <v>182</v>
      </c>
      <c r="CP280" s="72">
        <f t="shared" ref="CP280" si="2566">AM280</f>
        <v>231</v>
      </c>
      <c r="CQ280" s="72">
        <f t="shared" ref="CQ280" si="2567">AQ280</f>
        <v>274</v>
      </c>
      <c r="CR280" s="72">
        <f t="shared" ref="CR280" si="2568">AU280</f>
        <v>308</v>
      </c>
      <c r="CS280" s="72">
        <f t="shared" ref="CS280" si="2569">AY280</f>
        <v>320</v>
      </c>
      <c r="CT280" s="23">
        <f t="shared" ref="CT280" si="2570">M280-K280</f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ref="A281" si="2571">CONCATENATE(B281,"_",C281)</f>
        <v>nk1r_human_6E59</v>
      </c>
      <c r="B281" s="3" t="s">
        <v>313</v>
      </c>
      <c r="C281" s="130" t="s">
        <v>1531</v>
      </c>
      <c r="D281" s="3" t="str">
        <f>IFERROR(MID(VLOOKUP($B281,Seqs!$A:$B,2,0),E281,1),"")</f>
        <v>V</v>
      </c>
      <c r="E281" s="3">
        <v>33</v>
      </c>
      <c r="F281" s="3" t="str">
        <f>IFERROR(MID(VLOOKUP($B281,Seqs!$A:$B,2,0),G281,1),"")</f>
        <v>H</v>
      </c>
      <c r="G281" s="3">
        <v>60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T</v>
      </c>
      <c r="M281" s="3">
        <v>65</v>
      </c>
      <c r="N281" s="3" t="str">
        <f>IFERROR(MID(VLOOKUP($B281,Seqs!$A:$B,2,0),O281,1),"")</f>
        <v>V</v>
      </c>
      <c r="O281" s="3">
        <v>94</v>
      </c>
      <c r="P281" s="3" t="str">
        <f>IFERROR(MID(VLOOKUP($B281,Seqs!$A:$B,2,0),Q281,1),"")</f>
        <v>E</v>
      </c>
      <c r="Q281" s="3">
        <v>97</v>
      </c>
      <c r="R281" s="3" t="str">
        <f>IFERROR(MID(VLOOKUP($B281,Seqs!$A:$B,2,0),S281,1),"")</f>
        <v>Y</v>
      </c>
      <c r="S281" s="3">
        <v>100</v>
      </c>
      <c r="T281" s="3" t="str">
        <f>IFERROR(MID(VLOOKUP($B281,Seqs!$A:$B,2,0),U281,1),"")</f>
        <v>F</v>
      </c>
      <c r="U281" s="3">
        <v>103</v>
      </c>
      <c r="V281" s="3" t="str">
        <f>IFERROR(MID(VLOOKUP($B281,Seqs!$A:$B,2,0),W281,1),"")</f>
        <v>H</v>
      </c>
      <c r="W281" s="3">
        <v>136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3">
        <v>143</v>
      </c>
      <c r="AD281" s="3" t="str">
        <f>IFERROR(MID(VLOOKUP($B281,Seqs!$A:$B,2,0),AE281,1),"")</f>
        <v>S</v>
      </c>
      <c r="AE281" s="3">
        <v>169</v>
      </c>
      <c r="AF281" s="3" t="str">
        <f>IFERROR(MID(VLOOKUP($B281,Seqs!$A:$B,2,0),AG281,1),"")</f>
        <v>C</v>
      </c>
      <c r="AG281" s="3">
        <v>180</v>
      </c>
      <c r="AH281" s="3" t="str">
        <f>IFERROR(MID(VLOOKUP($B281,Seqs!$A:$B,2,0),AI281,1),"")</f>
        <v>I</v>
      </c>
      <c r="AI281" s="3">
        <v>182</v>
      </c>
      <c r="AJ281" s="3" t="str">
        <f>IFERROR(MID(VLOOKUP($B281,Seqs!$A:$B,2,0),AK281,1),"")</f>
        <v>P</v>
      </c>
      <c r="AK281" s="3">
        <v>188</v>
      </c>
      <c r="AL281" s="3" t="str">
        <f>IFERROR(MID(VLOOKUP($B281,Seqs!$A:$B,2,0),AM281,1),"")</f>
        <v>W</v>
      </c>
      <c r="AM281" s="3">
        <v>224</v>
      </c>
      <c r="AN281" s="3" t="str">
        <f>IFERROR(MID(VLOOKUP($B281,Seqs!$A:$B,2,0),AO281,1),"")</f>
        <v>E</v>
      </c>
      <c r="AO281" s="3">
        <v>238</v>
      </c>
      <c r="AP281" s="3" t="str">
        <f>IFERROR(MID(VLOOKUP($B281,Seqs!$A:$B,2,0),AQ281,1),"")</f>
        <v>N</v>
      </c>
      <c r="AQ281" s="3">
        <v>274</v>
      </c>
      <c r="AR281" s="3" t="str">
        <f>IFERROR(MID(VLOOKUP($B281,Seqs!$A:$B,2,0),AS281,1),"")</f>
        <v>I</v>
      </c>
      <c r="AS281" s="3">
        <v>283</v>
      </c>
      <c r="AT281" s="3" t="str">
        <f>IFERROR(MID(VLOOKUP($B281,Seqs!$A:$B,2,0),AU281,1),"")</f>
        <v>L</v>
      </c>
      <c r="AU281" s="3">
        <v>308</v>
      </c>
      <c r="AV281" s="3" t="str">
        <f>IFERROR(MID(VLOOKUP($B281,Seqs!$A:$B,2,0),AW281,1),"")</f>
        <v>N</v>
      </c>
      <c r="AW281" s="3">
        <v>309</v>
      </c>
      <c r="AX281" s="3" t="str">
        <f>IFERROR(MID(VLOOKUP($B281,Seqs!$A:$B,2,0),AY281,1),"")</f>
        <v>H</v>
      </c>
      <c r="AY281" s="3">
        <v>318</v>
      </c>
      <c r="AZ281" s="77" t="str">
        <f>VLOOKUP(B281,Classification!A:D,2,0)</f>
        <v>A</v>
      </c>
      <c r="BA281" s="94" t="str">
        <f>VLOOKUP(B281,Classification!A:D,4,0)</f>
        <v>Tachykinin</v>
      </c>
      <c r="BB281" s="27" t="b">
        <f t="shared" ref="BB281" si="2572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ref="BC281" si="2573">_xlfn.AGGREGATE(9,6,CH281:CS281)-_xlfn.AGGREGATE(9,6,BV281:CG281)+12</f>
        <v>238</v>
      </c>
      <c r="BD281" s="5" t="s">
        <v>23</v>
      </c>
      <c r="BE281" s="3" t="s">
        <v>1370</v>
      </c>
      <c r="BF281" s="118">
        <v>3.4</v>
      </c>
      <c r="BG281" s="49" t="s">
        <v>1</v>
      </c>
      <c r="BH281" s="49" t="s">
        <v>1</v>
      </c>
      <c r="BI281" s="1"/>
      <c r="BJ281" s="70" t="s">
        <v>1283</v>
      </c>
      <c r="BK281" s="57" t="s">
        <v>1283</v>
      </c>
      <c r="BL281" s="57" t="s">
        <v>1283</v>
      </c>
      <c r="BM281" s="57" t="s">
        <v>1283</v>
      </c>
      <c r="BN281" s="57" t="s">
        <v>1283</v>
      </c>
      <c r="BO281" s="57" t="s">
        <v>1283</v>
      </c>
      <c r="BP281" s="57" t="s">
        <v>1283</v>
      </c>
      <c r="BQ281" s="57" t="s">
        <v>1283</v>
      </c>
      <c r="BR281" s="57" t="s">
        <v>1283</v>
      </c>
      <c r="BS281" s="57" t="s">
        <v>1283</v>
      </c>
      <c r="BT281" s="57" t="s">
        <v>1283</v>
      </c>
      <c r="BU281" s="57" t="s">
        <v>1283</v>
      </c>
      <c r="BV281" s="70">
        <f t="shared" ref="BV281" si="2574">E281</f>
        <v>33</v>
      </c>
      <c r="BW281" s="71" t="str">
        <f t="shared" ref="BW281" si="2575">I281</f>
        <v>-</v>
      </c>
      <c r="BX281" s="72">
        <f t="shared" ref="BX281" si="2576">M281</f>
        <v>65</v>
      </c>
      <c r="BY281" s="71">
        <f t="shared" ref="BY281" si="2577">Q281</f>
        <v>97</v>
      </c>
      <c r="BZ281" s="72">
        <f t="shared" ref="BZ281" si="2578">U281</f>
        <v>103</v>
      </c>
      <c r="CA281" s="71" t="str">
        <f t="shared" ref="CA281" si="2579">Y281</f>
        <v>-</v>
      </c>
      <c r="CB281" s="72">
        <f t="shared" ref="CB281" si="2580">AC281</f>
        <v>143</v>
      </c>
      <c r="CC281" s="71">
        <f t="shared" ref="CC281" si="2581">AG281</f>
        <v>180</v>
      </c>
      <c r="CD281" s="72">
        <f t="shared" ref="CD281" si="2582">AK281</f>
        <v>188</v>
      </c>
      <c r="CE281" s="71">
        <f t="shared" ref="CE281" si="2583">AO281</f>
        <v>238</v>
      </c>
      <c r="CF281" s="72">
        <f t="shared" ref="CF281" si="2584">AS281</f>
        <v>283</v>
      </c>
      <c r="CG281" s="71">
        <f t="shared" ref="CG281" si="2585">AW281</f>
        <v>309</v>
      </c>
      <c r="CH281" s="70">
        <f t="shared" ref="CH281" si="2586">G281</f>
        <v>60</v>
      </c>
      <c r="CI281" s="71" t="str">
        <f t="shared" ref="CI281" si="2587">K281</f>
        <v>-</v>
      </c>
      <c r="CJ281" s="72">
        <f t="shared" ref="CJ281" si="2588">O281</f>
        <v>94</v>
      </c>
      <c r="CK281" s="72">
        <f t="shared" ref="CK281" si="2589">S281</f>
        <v>100</v>
      </c>
      <c r="CL281" s="72">
        <f t="shared" ref="CL281" si="2590">W281</f>
        <v>136</v>
      </c>
      <c r="CM281" s="72" t="str">
        <f t="shared" ref="CM281" si="2591">AA281</f>
        <v>-</v>
      </c>
      <c r="CN281" s="72">
        <f t="shared" ref="CN281" si="2592">AE281</f>
        <v>169</v>
      </c>
      <c r="CO281" s="72">
        <f t="shared" ref="CO281" si="2593">AI281</f>
        <v>182</v>
      </c>
      <c r="CP281" s="72">
        <f t="shared" ref="CP281" si="2594">AM281</f>
        <v>224</v>
      </c>
      <c r="CQ281" s="72">
        <f t="shared" ref="CQ281" si="2595">AQ281</f>
        <v>274</v>
      </c>
      <c r="CR281" s="72">
        <f t="shared" ref="CR281" si="2596">AU281</f>
        <v>308</v>
      </c>
      <c r="CS281" s="72">
        <f t="shared" ref="CS281" si="2597">AY281</f>
        <v>318</v>
      </c>
      <c r="CT281" s="23" t="e">
        <f t="shared" ref="CT281" si="2598">M281-K281</f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 t="shared" ref="A282" si="2599">CONCATENATE(B282,"_",C282)</f>
        <v>nk1r_human_6HLL</v>
      </c>
      <c r="B282" s="3" t="s">
        <v>313</v>
      </c>
      <c r="C282" s="130" t="s">
        <v>1539</v>
      </c>
      <c r="D282" s="3" t="str">
        <f>IFERROR(MID(VLOOKUP($B282,Seqs!$A:$B,2,0),E282,1),"")</f>
        <v>P</v>
      </c>
      <c r="E282" s="3">
        <v>28</v>
      </c>
      <c r="F282" s="3" t="str">
        <f>IFERROR(MID(VLOOKUP($B282,Seqs!$A:$B,2,0),G282,1),"")</f>
        <v>A</v>
      </c>
      <c r="G282" s="3">
        <v>59</v>
      </c>
      <c r="H282" s="3" t="str">
        <f>IFERROR(MID(VLOOKUP($B282,Seqs!$A:$B,2,0),I282,1),"")</f>
        <v>K</v>
      </c>
      <c r="I282" s="23">
        <v>61</v>
      </c>
      <c r="J282" s="3" t="str">
        <f>IFERROR(MID(VLOOKUP($B282,Seqs!$A:$B,2,0),K282,1),"")</f>
        <v>R</v>
      </c>
      <c r="K282" s="23">
        <v>64</v>
      </c>
      <c r="L282" s="3" t="str">
        <f>IFERROR(MID(VLOOKUP($B282,Seqs!$A:$B,2,0),M282,1),"")</f>
        <v>T</v>
      </c>
      <c r="M282" s="3">
        <v>65</v>
      </c>
      <c r="N282" s="3" t="str">
        <f>IFERROR(MID(VLOOKUP($B282,Seqs!$A:$B,2,0),O282,1),"")</f>
        <v>N</v>
      </c>
      <c r="O282" s="3">
        <v>96</v>
      </c>
      <c r="P282" s="3" t="str">
        <f>IFERROR(MID(VLOOKUP($B282,Seqs!$A:$B,2,0),Q282,1),"")</f>
        <v>E</v>
      </c>
      <c r="Q282" s="3">
        <v>97</v>
      </c>
      <c r="R282" s="3" t="str">
        <f>IFERROR(MID(VLOOKUP($B282,Seqs!$A:$B,2,0),S282,1),"")</f>
        <v>Y</v>
      </c>
      <c r="S282" s="3">
        <v>100</v>
      </c>
      <c r="T282" s="3" t="str">
        <f>IFERROR(MID(VLOOKUP($B282,Seqs!$A:$B,2,0),U282,1),"")</f>
        <v>G</v>
      </c>
      <c r="U282" s="3">
        <v>101</v>
      </c>
      <c r="V282" s="3" t="str">
        <f>IFERROR(MID(VLOOKUP($B282,Seqs!$A:$B,2,0),W282,1),"")</f>
        <v>H</v>
      </c>
      <c r="W282" s="3">
        <v>136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S</v>
      </c>
      <c r="AC282" s="3">
        <v>143</v>
      </c>
      <c r="AD282" s="3" t="str">
        <f>IFERROR(MID(VLOOKUP($B282,Seqs!$A:$B,2,0),AE282,1),"")</f>
        <v>S</v>
      </c>
      <c r="AE282" s="3">
        <v>169</v>
      </c>
      <c r="AF282" s="3" t="str">
        <f>IFERROR(MID(VLOOKUP($B282,Seqs!$A:$B,2,0),AG282,1),"")</f>
        <v>C</v>
      </c>
      <c r="AG282" s="3">
        <v>180</v>
      </c>
      <c r="AH282" s="3" t="str">
        <f>IFERROR(MID(VLOOKUP($B282,Seqs!$A:$B,2,0),AI282,1),"")</f>
        <v>I</v>
      </c>
      <c r="AI282" s="3">
        <v>182</v>
      </c>
      <c r="AJ282" s="3" t="str">
        <f>IFERROR(MID(VLOOKUP($B282,Seqs!$A:$B,2,0),AK282,1),"")</f>
        <v>K</v>
      </c>
      <c r="AK282" s="3">
        <v>190</v>
      </c>
      <c r="AL282" s="3" t="str">
        <f>IFERROR(MID(VLOOKUP($B282,Seqs!$A:$B,2,0),AM282,1),"")</f>
        <v>S</v>
      </c>
      <c r="AM282" s="3">
        <v>226</v>
      </c>
      <c r="AN282" s="3" t="str">
        <f>IFERROR(MID(VLOOKUP($B282,Seqs!$A:$B,2,0),AO282,1),"")</f>
        <v>E</v>
      </c>
      <c r="AO282" s="3">
        <v>238</v>
      </c>
      <c r="AP282" s="3" t="str">
        <f>IFERROR(MID(VLOOKUP($B282,Seqs!$A:$B,2,0),AQ282,1),"")</f>
        <v>L</v>
      </c>
      <c r="AQ282" s="3">
        <v>270</v>
      </c>
      <c r="AR282" s="3" t="str">
        <f>IFERROR(MID(VLOOKUP($B282,Seqs!$A:$B,2,0),AS282,1),"")</f>
        <v>I</v>
      </c>
      <c r="AS282" s="3">
        <v>283</v>
      </c>
      <c r="AT282" s="3" t="str">
        <f>IFERROR(MID(VLOOKUP($B282,Seqs!$A:$B,2,0),AU282,1),"")</f>
        <v>L</v>
      </c>
      <c r="AU282" s="3">
        <v>308</v>
      </c>
      <c r="AV282" s="3" t="str">
        <f>IFERROR(MID(VLOOKUP($B282,Seqs!$A:$B,2,0),AW282,1),"")</f>
        <v>N</v>
      </c>
      <c r="AW282" s="3">
        <v>309</v>
      </c>
      <c r="AX282" s="3" t="str">
        <f>IFERROR(MID(VLOOKUP($B282,Seqs!$A:$B,2,0),AY282,1),"")</f>
        <v>F</v>
      </c>
      <c r="AY282" s="3">
        <v>320</v>
      </c>
      <c r="AZ282" s="77" t="str">
        <f>VLOOKUP(B282,Classification!A:D,2,0)</f>
        <v>A</v>
      </c>
      <c r="BA282" s="94" t="str">
        <f>VLOOKUP(B282,Classification!A:D,4,0)</f>
        <v>Tachykinin</v>
      </c>
      <c r="BB282" s="27" t="b">
        <f t="shared" ref="BB282" si="2600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ref="BC282" si="2601">_xlfn.AGGREGATE(9,6,CH282:CS282)-_xlfn.AGGREGATE(9,6,BV282:CG282)+12</f>
        <v>247</v>
      </c>
      <c r="BD282" s="5" t="s">
        <v>23</v>
      </c>
      <c r="BE282" s="3" t="s">
        <v>1370</v>
      </c>
      <c r="BF282" s="118">
        <v>3.27</v>
      </c>
      <c r="BG282" s="49" t="s">
        <v>1</v>
      </c>
      <c r="BH282" s="49" t="s">
        <v>1</v>
      </c>
      <c r="BI282" s="1"/>
      <c r="BJ282" s="70" t="s">
        <v>1283</v>
      </c>
      <c r="BK282" s="57" t="s">
        <v>1283</v>
      </c>
      <c r="BL282" s="57" t="s">
        <v>1283</v>
      </c>
      <c r="BM282" s="57" t="s">
        <v>1283</v>
      </c>
      <c r="BN282" s="57" t="s">
        <v>1283</v>
      </c>
      <c r="BO282" s="57" t="s">
        <v>1283</v>
      </c>
      <c r="BP282" s="57" t="s">
        <v>1283</v>
      </c>
      <c r="BQ282" s="57" t="s">
        <v>1283</v>
      </c>
      <c r="BR282" s="57" t="s">
        <v>1283</v>
      </c>
      <c r="BS282" s="57" t="s">
        <v>1283</v>
      </c>
      <c r="BT282" s="57" t="s">
        <v>1283</v>
      </c>
      <c r="BU282" s="57" t="s">
        <v>1283</v>
      </c>
      <c r="BV282" s="70">
        <f t="shared" ref="BV282" si="2602">E282</f>
        <v>28</v>
      </c>
      <c r="BW282" s="71">
        <f t="shared" ref="BW282" si="2603">I282</f>
        <v>61</v>
      </c>
      <c r="BX282" s="72">
        <f t="shared" ref="BX282" si="2604">M282</f>
        <v>65</v>
      </c>
      <c r="BY282" s="71">
        <f t="shared" ref="BY282" si="2605">Q282</f>
        <v>97</v>
      </c>
      <c r="BZ282" s="72">
        <f t="shared" ref="BZ282" si="2606">U282</f>
        <v>101</v>
      </c>
      <c r="CA282" s="71" t="str">
        <f t="shared" ref="CA282" si="2607">Y282</f>
        <v>-</v>
      </c>
      <c r="CB282" s="72">
        <f t="shared" ref="CB282" si="2608">AC282</f>
        <v>143</v>
      </c>
      <c r="CC282" s="71">
        <f t="shared" ref="CC282" si="2609">AG282</f>
        <v>180</v>
      </c>
      <c r="CD282" s="72">
        <f t="shared" ref="CD282" si="2610">AK282</f>
        <v>190</v>
      </c>
      <c r="CE282" s="71">
        <f t="shared" ref="CE282" si="2611">AO282</f>
        <v>238</v>
      </c>
      <c r="CF282" s="72">
        <f t="shared" ref="CF282" si="2612">AS282</f>
        <v>283</v>
      </c>
      <c r="CG282" s="71">
        <f t="shared" ref="CG282" si="2613">AW282</f>
        <v>309</v>
      </c>
      <c r="CH282" s="70">
        <f t="shared" ref="CH282" si="2614">G282</f>
        <v>59</v>
      </c>
      <c r="CI282" s="71">
        <f t="shared" ref="CI282" si="2615">K282</f>
        <v>64</v>
      </c>
      <c r="CJ282" s="72">
        <f t="shared" ref="CJ282" si="2616">O282</f>
        <v>96</v>
      </c>
      <c r="CK282" s="72">
        <f t="shared" ref="CK282" si="2617">S282</f>
        <v>100</v>
      </c>
      <c r="CL282" s="72">
        <f t="shared" ref="CL282" si="2618">W282</f>
        <v>136</v>
      </c>
      <c r="CM282" s="72" t="str">
        <f t="shared" ref="CM282" si="2619">AA282</f>
        <v>-</v>
      </c>
      <c r="CN282" s="72">
        <f t="shared" ref="CN282" si="2620">AE282</f>
        <v>169</v>
      </c>
      <c r="CO282" s="72">
        <f t="shared" ref="CO282" si="2621">AI282</f>
        <v>182</v>
      </c>
      <c r="CP282" s="72">
        <f t="shared" ref="CP282" si="2622">AM282</f>
        <v>226</v>
      </c>
      <c r="CQ282" s="72">
        <f t="shared" ref="CQ282" si="2623">AQ282</f>
        <v>270</v>
      </c>
      <c r="CR282" s="72">
        <f t="shared" ref="CR282" si="2624">AU282</f>
        <v>308</v>
      </c>
      <c r="CS282" s="72">
        <f t="shared" ref="CS282" si="2625">AY282</f>
        <v>320</v>
      </c>
      <c r="CT282" s="23">
        <f t="shared" ref="CT282" si="2626"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ref="A283" si="2627">CONCATENATE(B283,"_",C283)</f>
        <v>nk1r_human_6HLO</v>
      </c>
      <c r="B283" s="3" t="s">
        <v>313</v>
      </c>
      <c r="C283" s="130" t="s">
        <v>1540</v>
      </c>
      <c r="D283" s="3" t="str">
        <f>IFERROR(MID(VLOOKUP($B283,Seqs!$A:$B,2,0),E283,1),"")</f>
        <v>P</v>
      </c>
      <c r="E283" s="3">
        <v>28</v>
      </c>
      <c r="F283" s="3" t="str">
        <f>IFERROR(MID(VLOOKUP($B283,Seqs!$A:$B,2,0),G283,1),"")</f>
        <v>H</v>
      </c>
      <c r="G283" s="3">
        <v>60</v>
      </c>
      <c r="H283" s="3" t="str">
        <f>IFERROR(MID(VLOOKUP($B283,Seqs!$A:$B,2,0),I283,1),"")</f>
        <v>K</v>
      </c>
      <c r="I283" s="23">
        <v>61</v>
      </c>
      <c r="J283" s="3" t="str">
        <f>IFERROR(MID(VLOOKUP($B283,Seqs!$A:$B,2,0),K283,1),"")</f>
        <v>R</v>
      </c>
      <c r="K283" s="23">
        <v>64</v>
      </c>
      <c r="L283" s="3" t="str">
        <f>IFERROR(MID(VLOOKUP($B283,Seqs!$A:$B,2,0),M283,1),"")</f>
        <v>T</v>
      </c>
      <c r="M283" s="3">
        <v>65</v>
      </c>
      <c r="N283" s="3" t="str">
        <f>IFERROR(MID(VLOOKUP($B283,Seqs!$A:$B,2,0),O283,1),"")</f>
        <v>H</v>
      </c>
      <c r="O283" s="3">
        <v>95</v>
      </c>
      <c r="P283" s="3" t="str">
        <f>IFERROR(MID(VLOOKUP($B283,Seqs!$A:$B,2,0),Q283,1),"")</f>
        <v>E</v>
      </c>
      <c r="Q283" s="3">
        <v>97</v>
      </c>
      <c r="R283" s="3" t="str">
        <f>IFERROR(MID(VLOOKUP($B283,Seqs!$A:$B,2,0),S283,1),"")</f>
        <v>Y</v>
      </c>
      <c r="S283" s="3">
        <v>100</v>
      </c>
      <c r="T283" s="3" t="str">
        <f>IFERROR(MID(VLOOKUP($B283,Seqs!$A:$B,2,0),U283,1),"")</f>
        <v>G</v>
      </c>
      <c r="U283" s="3">
        <v>101</v>
      </c>
      <c r="V283" s="3" t="str">
        <f>IFERROR(MID(VLOOKUP($B283,Seqs!$A:$B,2,0),W283,1),"")</f>
        <v>H</v>
      </c>
      <c r="W283" s="3">
        <v>136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S</v>
      </c>
      <c r="AC283" s="3">
        <v>143</v>
      </c>
      <c r="AD283" s="3" t="str">
        <f>IFERROR(MID(VLOOKUP($B283,Seqs!$A:$B,2,0),AE283,1),"")</f>
        <v>S</v>
      </c>
      <c r="AE283" s="3">
        <v>169</v>
      </c>
      <c r="AF283" s="3" t="str">
        <f>IFERROR(MID(VLOOKUP($B283,Seqs!$A:$B,2,0),AG283,1),"")</f>
        <v>C</v>
      </c>
      <c r="AG283" s="3">
        <v>180</v>
      </c>
      <c r="AH283" s="3" t="str">
        <f>IFERROR(MID(VLOOKUP($B283,Seqs!$A:$B,2,0),AI283,1),"")</f>
        <v>I</v>
      </c>
      <c r="AI283" s="3">
        <v>182</v>
      </c>
      <c r="AJ283" s="3" t="str">
        <f>IFERROR(MID(VLOOKUP($B283,Seqs!$A:$B,2,0),AK283,1),"")</f>
        <v>K</v>
      </c>
      <c r="AK283" s="3">
        <v>190</v>
      </c>
      <c r="AL283" s="3" t="str">
        <f>IFERROR(MID(VLOOKUP($B283,Seqs!$A:$B,2,0),AM283,1),"")</f>
        <v>S</v>
      </c>
      <c r="AM283" s="3">
        <v>226</v>
      </c>
      <c r="AN283" s="3" t="str">
        <f>IFERROR(MID(VLOOKUP($B283,Seqs!$A:$B,2,0),AO283,1),"")</f>
        <v>E</v>
      </c>
      <c r="AO283" s="3">
        <v>238</v>
      </c>
      <c r="AP283" s="3" t="str">
        <f>IFERROR(MID(VLOOKUP($B283,Seqs!$A:$B,2,0),AQ283,1),"")</f>
        <v>N</v>
      </c>
      <c r="AQ283" s="3">
        <v>274</v>
      </c>
      <c r="AR283" s="3" t="str">
        <f>IFERROR(MID(VLOOKUP($B283,Seqs!$A:$B,2,0),AS283,1),"")</f>
        <v>F</v>
      </c>
      <c r="AS283" s="3">
        <v>282</v>
      </c>
      <c r="AT283" s="3" t="str">
        <f>IFERROR(MID(VLOOKUP($B283,Seqs!$A:$B,2,0),AU283,1),"")</f>
        <v>L</v>
      </c>
      <c r="AU283" s="3">
        <v>308</v>
      </c>
      <c r="AV283" s="3" t="str">
        <f>IFERROR(MID(VLOOKUP($B283,Seqs!$A:$B,2,0),AW283,1),"")</f>
        <v>N</v>
      </c>
      <c r="AW283" s="3">
        <v>309</v>
      </c>
      <c r="AX283" s="3" t="str">
        <f>IFERROR(MID(VLOOKUP($B283,Seqs!$A:$B,2,0),AY283,1),"")</f>
        <v>F</v>
      </c>
      <c r="AY283" s="3">
        <v>320</v>
      </c>
      <c r="AZ283" s="77" t="str">
        <f>VLOOKUP(B283,Classification!A:D,2,0)</f>
        <v>A</v>
      </c>
      <c r="BA283" s="94" t="str">
        <f>VLOOKUP(B283,Classification!A:D,4,0)</f>
        <v>Tachykinin</v>
      </c>
      <c r="BB283" s="27" t="b">
        <f t="shared" ref="BB283" si="2628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 t="shared" ref="BC283" si="2629">_xlfn.AGGREGATE(9,6,CH283:CS283)-_xlfn.AGGREGATE(9,6,BV283:CG283)+12</f>
        <v>252</v>
      </c>
      <c r="BD283" s="5" t="s">
        <v>23</v>
      </c>
      <c r="BE283" s="3" t="s">
        <v>1370</v>
      </c>
      <c r="BF283" s="118">
        <v>2.4</v>
      </c>
      <c r="BG283" s="49" t="s">
        <v>1</v>
      </c>
      <c r="BH283" s="49" t="s">
        <v>1</v>
      </c>
      <c r="BI283" s="1"/>
      <c r="BJ283" s="70" t="s">
        <v>1283</v>
      </c>
      <c r="BK283" s="57" t="s">
        <v>1283</v>
      </c>
      <c r="BL283" s="57" t="s">
        <v>1283</v>
      </c>
      <c r="BM283" s="57" t="s">
        <v>1283</v>
      </c>
      <c r="BN283" s="57" t="s">
        <v>1283</v>
      </c>
      <c r="BO283" s="57" t="s">
        <v>1283</v>
      </c>
      <c r="BP283" s="57" t="s">
        <v>1283</v>
      </c>
      <c r="BQ283" s="57" t="s">
        <v>1283</v>
      </c>
      <c r="BR283" s="57" t="s">
        <v>1283</v>
      </c>
      <c r="BS283" s="57" t="s">
        <v>1283</v>
      </c>
      <c r="BT283" s="57" t="s">
        <v>1283</v>
      </c>
      <c r="BU283" s="57" t="s">
        <v>1283</v>
      </c>
      <c r="BV283" s="70">
        <f t="shared" ref="BV283" si="2630">E283</f>
        <v>28</v>
      </c>
      <c r="BW283" s="71">
        <f t="shared" ref="BW283" si="2631">I283</f>
        <v>61</v>
      </c>
      <c r="BX283" s="72">
        <f t="shared" ref="BX283" si="2632">M283</f>
        <v>65</v>
      </c>
      <c r="BY283" s="71">
        <f t="shared" ref="BY283" si="2633">Q283</f>
        <v>97</v>
      </c>
      <c r="BZ283" s="72">
        <f t="shared" ref="BZ283" si="2634">U283</f>
        <v>101</v>
      </c>
      <c r="CA283" s="71" t="str">
        <f t="shared" ref="CA283" si="2635">Y283</f>
        <v>-</v>
      </c>
      <c r="CB283" s="72">
        <f t="shared" ref="CB283" si="2636">AC283</f>
        <v>143</v>
      </c>
      <c r="CC283" s="71">
        <f t="shared" ref="CC283" si="2637">AG283</f>
        <v>180</v>
      </c>
      <c r="CD283" s="72">
        <f t="shared" ref="CD283" si="2638">AK283</f>
        <v>190</v>
      </c>
      <c r="CE283" s="71">
        <f t="shared" ref="CE283" si="2639">AO283</f>
        <v>238</v>
      </c>
      <c r="CF283" s="72">
        <f t="shared" ref="CF283" si="2640">AS283</f>
        <v>282</v>
      </c>
      <c r="CG283" s="71">
        <f t="shared" ref="CG283" si="2641">AW283</f>
        <v>309</v>
      </c>
      <c r="CH283" s="70">
        <f t="shared" ref="CH283" si="2642">G283</f>
        <v>60</v>
      </c>
      <c r="CI283" s="71">
        <f t="shared" ref="CI283" si="2643">K283</f>
        <v>64</v>
      </c>
      <c r="CJ283" s="72">
        <f t="shared" ref="CJ283" si="2644">O283</f>
        <v>95</v>
      </c>
      <c r="CK283" s="72">
        <f t="shared" ref="CK283" si="2645">S283</f>
        <v>100</v>
      </c>
      <c r="CL283" s="72">
        <f t="shared" ref="CL283" si="2646">W283</f>
        <v>136</v>
      </c>
      <c r="CM283" s="72" t="str">
        <f t="shared" ref="CM283" si="2647">AA283</f>
        <v>-</v>
      </c>
      <c r="CN283" s="72">
        <f t="shared" ref="CN283" si="2648">AE283</f>
        <v>169</v>
      </c>
      <c r="CO283" s="72">
        <f t="shared" ref="CO283" si="2649">AI283</f>
        <v>182</v>
      </c>
      <c r="CP283" s="72">
        <f t="shared" ref="CP283" si="2650">AM283</f>
        <v>226</v>
      </c>
      <c r="CQ283" s="72">
        <f t="shared" ref="CQ283" si="2651">AQ283</f>
        <v>274</v>
      </c>
      <c r="CR283" s="72">
        <f t="shared" ref="CR283" si="2652">AU283</f>
        <v>308</v>
      </c>
      <c r="CS283" s="72">
        <f t="shared" ref="CS283" si="2653">AY283</f>
        <v>320</v>
      </c>
      <c r="CT283" s="23">
        <f t="shared" ref="CT283" si="2654"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ref="A284" si="2655">CONCATENATE(B284,"_",C284)</f>
        <v>nk1r_human_6HLP</v>
      </c>
      <c r="B284" s="3" t="s">
        <v>313</v>
      </c>
      <c r="C284" s="130" t="s">
        <v>1541</v>
      </c>
      <c r="D284" s="3" t="str">
        <f>IFERROR(MID(VLOOKUP($B284,Seqs!$A:$B,2,0),E284,1),"")</f>
        <v>P</v>
      </c>
      <c r="E284" s="3">
        <v>28</v>
      </c>
      <c r="F284" s="3" t="str">
        <f>IFERROR(MID(VLOOKUP($B284,Seqs!$A:$B,2,0),G284,1),"")</f>
        <v>H</v>
      </c>
      <c r="G284" s="3">
        <v>60</v>
      </c>
      <c r="H284" s="3" t="str">
        <f>IFERROR(MID(VLOOKUP($B284,Seqs!$A:$B,2,0),I284,1),"")</f>
        <v>K</v>
      </c>
      <c r="I284" s="23">
        <v>61</v>
      </c>
      <c r="J284" s="3" t="str">
        <f>IFERROR(MID(VLOOKUP($B284,Seqs!$A:$B,2,0),K284,1),"")</f>
        <v>R</v>
      </c>
      <c r="K284" s="23">
        <v>64</v>
      </c>
      <c r="L284" s="3" t="str">
        <f>IFERROR(MID(VLOOKUP($B284,Seqs!$A:$B,2,0),M284,1),"")</f>
        <v>T</v>
      </c>
      <c r="M284" s="3">
        <v>65</v>
      </c>
      <c r="N284" s="3" t="str">
        <f>IFERROR(MID(VLOOKUP($B284,Seqs!$A:$B,2,0),O284,1),"")</f>
        <v>H</v>
      </c>
      <c r="O284" s="3">
        <v>95</v>
      </c>
      <c r="P284" s="3" t="str">
        <f>IFERROR(MID(VLOOKUP($B284,Seqs!$A:$B,2,0),Q284,1),"")</f>
        <v>E</v>
      </c>
      <c r="Q284" s="3">
        <v>97</v>
      </c>
      <c r="R284" s="3" t="str">
        <f>IFERROR(MID(VLOOKUP($B284,Seqs!$A:$B,2,0),S284,1),"")</f>
        <v>Y</v>
      </c>
      <c r="S284" s="3">
        <v>100</v>
      </c>
      <c r="T284" s="3" t="str">
        <f>IFERROR(MID(VLOOKUP($B284,Seqs!$A:$B,2,0),U284,1),"")</f>
        <v>G</v>
      </c>
      <c r="U284" s="3">
        <v>101</v>
      </c>
      <c r="V284" s="3" t="str">
        <f>IFERROR(MID(VLOOKUP($B284,Seqs!$A:$B,2,0),W284,1),"")</f>
        <v>H</v>
      </c>
      <c r="W284" s="3">
        <v>136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S</v>
      </c>
      <c r="AC284" s="3">
        <v>143</v>
      </c>
      <c r="AD284" s="3" t="str">
        <f>IFERROR(MID(VLOOKUP($B284,Seqs!$A:$B,2,0),AE284,1),"")</f>
        <v>S</v>
      </c>
      <c r="AE284" s="3">
        <v>169</v>
      </c>
      <c r="AF284" s="3" t="str">
        <f>IFERROR(MID(VLOOKUP($B284,Seqs!$A:$B,2,0),AG284,1),"")</f>
        <v>C</v>
      </c>
      <c r="AG284" s="3">
        <v>180</v>
      </c>
      <c r="AH284" s="3" t="str">
        <f>IFERROR(MID(VLOOKUP($B284,Seqs!$A:$B,2,0),AI284,1),"")</f>
        <v>I</v>
      </c>
      <c r="AI284" s="3">
        <v>182</v>
      </c>
      <c r="AJ284" s="3" t="str">
        <f>IFERROR(MID(VLOOKUP($B284,Seqs!$A:$B,2,0),AK284,1),"")</f>
        <v>K</v>
      </c>
      <c r="AK284" s="3">
        <v>190</v>
      </c>
      <c r="AL284" s="3" t="str">
        <f>IFERROR(MID(VLOOKUP($B284,Seqs!$A:$B,2,0),AM284,1),"")</f>
        <v>S</v>
      </c>
      <c r="AM284" s="3">
        <v>226</v>
      </c>
      <c r="AN284" s="3" t="str">
        <f>IFERROR(MID(VLOOKUP($B284,Seqs!$A:$B,2,0),AO284,1),"")</f>
        <v>E</v>
      </c>
      <c r="AO284" s="3">
        <v>238</v>
      </c>
      <c r="AP284" s="3" t="str">
        <f>IFERROR(MID(VLOOKUP($B284,Seqs!$A:$B,2,0),AQ284,1),"")</f>
        <v>N</v>
      </c>
      <c r="AQ284" s="3">
        <v>274</v>
      </c>
      <c r="AR284" s="3" t="str">
        <f>IFERROR(MID(VLOOKUP($B284,Seqs!$A:$B,2,0),AS284,1),"")</f>
        <v>F</v>
      </c>
      <c r="AS284" s="3">
        <v>282</v>
      </c>
      <c r="AT284" s="3" t="str">
        <f>IFERROR(MID(VLOOKUP($B284,Seqs!$A:$B,2,0),AU284,1),"")</f>
        <v>L</v>
      </c>
      <c r="AU284" s="3">
        <v>308</v>
      </c>
      <c r="AV284" s="3" t="str">
        <f>IFERROR(MID(VLOOKUP($B284,Seqs!$A:$B,2,0),AW284,1),"")</f>
        <v>N</v>
      </c>
      <c r="AW284" s="3">
        <v>309</v>
      </c>
      <c r="AX284" s="3" t="str">
        <f>IFERROR(MID(VLOOKUP($B284,Seqs!$A:$B,2,0),AY284,1),"")</f>
        <v>F</v>
      </c>
      <c r="AY284" s="3">
        <v>320</v>
      </c>
      <c r="AZ284" s="77" t="str">
        <f>VLOOKUP(B284,Classification!A:D,2,0)</f>
        <v>A</v>
      </c>
      <c r="BA284" s="94" t="str">
        <f>VLOOKUP(B284,Classification!A:D,4,0)</f>
        <v>Tachykinin</v>
      </c>
      <c r="BB284" s="27" t="b">
        <f t="shared" ref="BB284" si="2656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ref="BC284" si="2657">_xlfn.AGGREGATE(9,6,CH284:CS284)-_xlfn.AGGREGATE(9,6,BV284:CG284)+12</f>
        <v>252</v>
      </c>
      <c r="BD284" s="5" t="s">
        <v>1372</v>
      </c>
      <c r="BE284" s="3" t="s">
        <v>1370</v>
      </c>
      <c r="BF284" s="118">
        <v>2.2000000000000002</v>
      </c>
      <c r="BG284" s="49" t="s">
        <v>1</v>
      </c>
      <c r="BH284" s="49" t="s">
        <v>1</v>
      </c>
      <c r="BI284" s="1"/>
      <c r="BJ284" s="70" t="s">
        <v>1283</v>
      </c>
      <c r="BK284" s="57" t="s">
        <v>1283</v>
      </c>
      <c r="BL284" s="57" t="s">
        <v>1283</v>
      </c>
      <c r="BM284" s="57" t="s">
        <v>1283</v>
      </c>
      <c r="BN284" s="57" t="s">
        <v>1283</v>
      </c>
      <c r="BO284" s="57" t="s">
        <v>1283</v>
      </c>
      <c r="BP284" s="57" t="s">
        <v>1283</v>
      </c>
      <c r="BQ284" s="57" t="s">
        <v>1283</v>
      </c>
      <c r="BR284" s="57" t="s">
        <v>1283</v>
      </c>
      <c r="BS284" s="57" t="s">
        <v>1283</v>
      </c>
      <c r="BT284" s="57" t="s">
        <v>1283</v>
      </c>
      <c r="BU284" s="57" t="s">
        <v>1283</v>
      </c>
      <c r="BV284" s="70">
        <f t="shared" ref="BV284" si="2658">E284</f>
        <v>28</v>
      </c>
      <c r="BW284" s="71">
        <f t="shared" ref="BW284" si="2659">I284</f>
        <v>61</v>
      </c>
      <c r="BX284" s="72">
        <f t="shared" ref="BX284" si="2660">M284</f>
        <v>65</v>
      </c>
      <c r="BY284" s="71">
        <f t="shared" ref="BY284" si="2661">Q284</f>
        <v>97</v>
      </c>
      <c r="BZ284" s="72">
        <f t="shared" ref="BZ284" si="2662">U284</f>
        <v>101</v>
      </c>
      <c r="CA284" s="71" t="str">
        <f t="shared" ref="CA284" si="2663">Y284</f>
        <v>-</v>
      </c>
      <c r="CB284" s="72">
        <f t="shared" ref="CB284" si="2664">AC284</f>
        <v>143</v>
      </c>
      <c r="CC284" s="71">
        <f t="shared" ref="CC284" si="2665">AG284</f>
        <v>180</v>
      </c>
      <c r="CD284" s="72">
        <f t="shared" ref="CD284" si="2666">AK284</f>
        <v>190</v>
      </c>
      <c r="CE284" s="71">
        <f t="shared" ref="CE284" si="2667">AO284</f>
        <v>238</v>
      </c>
      <c r="CF284" s="72">
        <f t="shared" ref="CF284" si="2668">AS284</f>
        <v>282</v>
      </c>
      <c r="CG284" s="71">
        <f t="shared" ref="CG284" si="2669">AW284</f>
        <v>309</v>
      </c>
      <c r="CH284" s="70">
        <f t="shared" ref="CH284" si="2670">G284</f>
        <v>60</v>
      </c>
      <c r="CI284" s="71">
        <f t="shared" ref="CI284" si="2671">K284</f>
        <v>64</v>
      </c>
      <c r="CJ284" s="72">
        <f t="shared" ref="CJ284" si="2672">O284</f>
        <v>95</v>
      </c>
      <c r="CK284" s="72">
        <f t="shared" ref="CK284" si="2673">S284</f>
        <v>100</v>
      </c>
      <c r="CL284" s="72">
        <f t="shared" ref="CL284" si="2674">W284</f>
        <v>136</v>
      </c>
      <c r="CM284" s="72" t="str">
        <f t="shared" ref="CM284" si="2675">AA284</f>
        <v>-</v>
      </c>
      <c r="CN284" s="72">
        <f t="shared" ref="CN284" si="2676">AE284</f>
        <v>169</v>
      </c>
      <c r="CO284" s="72">
        <f t="shared" ref="CO284" si="2677">AI284</f>
        <v>182</v>
      </c>
      <c r="CP284" s="72">
        <f t="shared" ref="CP284" si="2678">AM284</f>
        <v>226</v>
      </c>
      <c r="CQ284" s="72">
        <f t="shared" ref="CQ284" si="2679">AQ284</f>
        <v>274</v>
      </c>
      <c r="CR284" s="72">
        <f t="shared" ref="CR284" si="2680">AU284</f>
        <v>308</v>
      </c>
      <c r="CS284" s="72">
        <f t="shared" ref="CS284" si="2681">AY284</f>
        <v>320</v>
      </c>
      <c r="CT284" s="23">
        <f t="shared" ref="CT284" si="2682"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83">CONCATENATE(B285,"_",C285)</f>
        <v>nk1r_human_6J20</v>
      </c>
      <c r="B285" s="3" t="s">
        <v>313</v>
      </c>
      <c r="C285" s="130" t="s">
        <v>1558</v>
      </c>
      <c r="D285" s="3" t="str">
        <f>IFERROR(MID(VLOOKUP($B285,Seqs!$A:$B,2,0),E285,1),"")</f>
        <v>P</v>
      </c>
      <c r="E285" s="3">
        <v>28</v>
      </c>
      <c r="F285" s="3" t="str">
        <f>IFERROR(MID(VLOOKUP($B285,Seqs!$A:$B,2,0),G285,1),"")</f>
        <v>A</v>
      </c>
      <c r="G285" s="3">
        <v>59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V</v>
      </c>
      <c r="M285" s="3">
        <v>66</v>
      </c>
      <c r="N285" s="3" t="str">
        <f>IFERROR(MID(VLOOKUP($B285,Seqs!$A:$B,2,0),O285,1),"")</f>
        <v>N</v>
      </c>
      <c r="O285" s="3">
        <v>96</v>
      </c>
      <c r="P285" s="3" t="str">
        <f>IFERROR(MID(VLOOKUP($B285,Seqs!$A:$B,2,0),Q285,1),"")</f>
        <v>E</v>
      </c>
      <c r="Q285" s="3">
        <v>97</v>
      </c>
      <c r="R285" s="3" t="str">
        <f>IFERROR(MID(VLOOKUP($B285,Seqs!$A:$B,2,0),S285,1),"")</f>
        <v>Y</v>
      </c>
      <c r="S285" s="3">
        <v>100</v>
      </c>
      <c r="T285" s="3" t="str">
        <f>IFERROR(MID(VLOOKUP($B285,Seqs!$A:$B,2,0),U285,1),"")</f>
        <v>G</v>
      </c>
      <c r="U285" s="3">
        <v>101</v>
      </c>
      <c r="V285" s="3" t="str">
        <f>IFERROR(MID(VLOOKUP($B285,Seqs!$A:$B,2,0),W285,1),"")</f>
        <v>H</v>
      </c>
      <c r="W285" s="3">
        <v>136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S</v>
      </c>
      <c r="AC285" s="3">
        <v>143</v>
      </c>
      <c r="AD285" s="3" t="str">
        <f>IFERROR(MID(VLOOKUP($B285,Seqs!$A:$B,2,0),AE285,1),"")</f>
        <v>S</v>
      </c>
      <c r="AE285" s="3">
        <v>169</v>
      </c>
      <c r="AF285" s="3" t="str">
        <f>IFERROR(MID(VLOOKUP($B285,Seqs!$A:$B,2,0),AG285,1),"")</f>
        <v>C</v>
      </c>
      <c r="AG285" s="3">
        <v>180</v>
      </c>
      <c r="AH285" s="3" t="str">
        <f>IFERROR(MID(VLOOKUP($B285,Seqs!$A:$B,2,0),AI285,1),"")</f>
        <v>I</v>
      </c>
      <c r="AI285" s="3">
        <v>182</v>
      </c>
      <c r="AJ285" s="3" t="str">
        <f>IFERROR(MID(VLOOKUP($B285,Seqs!$A:$B,2,0),AK285,1),"")</f>
        <v>K</v>
      </c>
      <c r="AK285" s="3">
        <v>190</v>
      </c>
      <c r="AL285" s="3" t="str">
        <f>IFERROR(MID(VLOOKUP($B285,Seqs!$A:$B,2,0),AM285,1),"")</f>
        <v>A</v>
      </c>
      <c r="AM285" s="3">
        <v>225</v>
      </c>
      <c r="AN285" s="3" t="str">
        <f>IFERROR(MID(VLOOKUP($B285,Seqs!$A:$B,2,0),AO285,1),"")</f>
        <v>S</v>
      </c>
      <c r="AO285" s="3">
        <v>241</v>
      </c>
      <c r="AP285" s="3" t="str">
        <f>IFERROR(MID(VLOOKUP($B285,Seqs!$A:$B,2,0),AQ285,1),"")</f>
        <v>N</v>
      </c>
      <c r="AQ285" s="3">
        <v>274</v>
      </c>
      <c r="AR285" s="3" t="str">
        <f>IFERROR(MID(VLOOKUP($B285,Seqs!$A:$B,2,0),AS285,1),"")</f>
        <v>I</v>
      </c>
      <c r="AS285" s="3">
        <v>283</v>
      </c>
      <c r="AT285" s="3" t="str">
        <f>IFERROR(MID(VLOOKUP($B285,Seqs!$A:$B,2,0),AU285,1),"")</f>
        <v>L</v>
      </c>
      <c r="AU285" s="3">
        <v>308</v>
      </c>
      <c r="AV285" s="3" t="str">
        <f>IFERROR(MID(VLOOKUP($B285,Seqs!$A:$B,2,0),AW285,1),"")</f>
        <v>N</v>
      </c>
      <c r="AW285" s="3">
        <v>309</v>
      </c>
      <c r="AX285" s="3" t="str">
        <f>IFERROR(MID(VLOOKUP($B285,Seqs!$A:$B,2,0),AY285,1),"")</f>
        <v>A</v>
      </c>
      <c r="AY285" s="3">
        <v>319</v>
      </c>
      <c r="AZ285" s="77" t="str">
        <f>VLOOKUP(B285,Classification!A:D,2,0)</f>
        <v>A</v>
      </c>
      <c r="BA285" s="94" t="str">
        <f>VLOOKUP(B285,Classification!A:D,4,0)</f>
        <v>Tachykinin</v>
      </c>
      <c r="BB285" s="27" t="b">
        <f t="shared" ref="BB285" si="2684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 t="shared" ref="BC285" si="2685">_xlfn.AGGREGATE(9,6,CH285:CS285)-_xlfn.AGGREGATE(9,6,BV285:CG285)+12</f>
        <v>242</v>
      </c>
      <c r="BD285" s="5" t="s">
        <v>23</v>
      </c>
      <c r="BE285" s="3" t="s">
        <v>1370</v>
      </c>
      <c r="BF285" s="118">
        <v>2.7</v>
      </c>
      <c r="BG285" s="49" t="s">
        <v>1</v>
      </c>
      <c r="BH285" s="49" t="s">
        <v>1</v>
      </c>
      <c r="BI285" s="1"/>
      <c r="BJ285" s="70" t="s">
        <v>1283</v>
      </c>
      <c r="BK285" s="57" t="s">
        <v>1283</v>
      </c>
      <c r="BL285" s="57" t="s">
        <v>1283</v>
      </c>
      <c r="BM285" s="57" t="s">
        <v>1283</v>
      </c>
      <c r="BN285" s="57" t="s">
        <v>1283</v>
      </c>
      <c r="BO285" s="57" t="s">
        <v>1283</v>
      </c>
      <c r="BP285" s="57" t="s">
        <v>1283</v>
      </c>
      <c r="BQ285" s="57" t="s">
        <v>1283</v>
      </c>
      <c r="BR285" s="57" t="s">
        <v>1283</v>
      </c>
      <c r="BS285" s="57" t="s">
        <v>1283</v>
      </c>
      <c r="BT285" s="57" t="s">
        <v>1283</v>
      </c>
      <c r="BU285" s="57" t="s">
        <v>1283</v>
      </c>
      <c r="BV285" s="70">
        <f t="shared" ref="BV285" si="2686">E285</f>
        <v>28</v>
      </c>
      <c r="BW285" s="71" t="str">
        <f t="shared" ref="BW285" si="2687">I285</f>
        <v>-</v>
      </c>
      <c r="BX285" s="72">
        <f t="shared" ref="BX285" si="2688">M285</f>
        <v>66</v>
      </c>
      <c r="BY285" s="71">
        <f t="shared" ref="BY285" si="2689">Q285</f>
        <v>97</v>
      </c>
      <c r="BZ285" s="72">
        <f t="shared" ref="BZ285" si="2690">U285</f>
        <v>101</v>
      </c>
      <c r="CA285" s="71" t="str">
        <f t="shared" ref="CA285" si="2691">Y285</f>
        <v>-</v>
      </c>
      <c r="CB285" s="72">
        <f t="shared" ref="CB285" si="2692">AC285</f>
        <v>143</v>
      </c>
      <c r="CC285" s="71">
        <f t="shared" ref="CC285" si="2693">AG285</f>
        <v>180</v>
      </c>
      <c r="CD285" s="72">
        <f t="shared" ref="CD285" si="2694">AK285</f>
        <v>190</v>
      </c>
      <c r="CE285" s="71">
        <f t="shared" ref="CE285" si="2695">AO285</f>
        <v>241</v>
      </c>
      <c r="CF285" s="72">
        <f t="shared" ref="CF285" si="2696">AS285</f>
        <v>283</v>
      </c>
      <c r="CG285" s="71">
        <f t="shared" ref="CG285" si="2697">AW285</f>
        <v>309</v>
      </c>
      <c r="CH285" s="70">
        <f t="shared" ref="CH285" si="2698">G285</f>
        <v>59</v>
      </c>
      <c r="CI285" s="71" t="str">
        <f t="shared" ref="CI285" si="2699">K285</f>
        <v>-</v>
      </c>
      <c r="CJ285" s="72">
        <f t="shared" ref="CJ285" si="2700">O285</f>
        <v>96</v>
      </c>
      <c r="CK285" s="72">
        <f t="shared" ref="CK285" si="2701">S285</f>
        <v>100</v>
      </c>
      <c r="CL285" s="72">
        <f t="shared" ref="CL285" si="2702">W285</f>
        <v>136</v>
      </c>
      <c r="CM285" s="72" t="str">
        <f t="shared" ref="CM285" si="2703">AA285</f>
        <v>-</v>
      </c>
      <c r="CN285" s="72">
        <f t="shared" ref="CN285" si="2704">AE285</f>
        <v>169</v>
      </c>
      <c r="CO285" s="72">
        <f t="shared" ref="CO285" si="2705">AI285</f>
        <v>182</v>
      </c>
      <c r="CP285" s="72">
        <f t="shared" ref="CP285" si="2706">AM285</f>
        <v>225</v>
      </c>
      <c r="CQ285" s="72">
        <f t="shared" ref="CQ285" si="2707">AQ285</f>
        <v>274</v>
      </c>
      <c r="CR285" s="72">
        <f t="shared" ref="CR285" si="2708">AU285</f>
        <v>308</v>
      </c>
      <c r="CS285" s="72">
        <f t="shared" ref="CS285" si="2709">AY285</f>
        <v>319</v>
      </c>
      <c r="CT285" s="23" t="e">
        <f t="shared" ref="CT285" si="2710">M285-K285</f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ref="A286" si="2711">CONCATENATE(B286,"_",C286)</f>
        <v>nk1r_human_6J21</v>
      </c>
      <c r="B286" s="3" t="s">
        <v>313</v>
      </c>
      <c r="C286" s="130" t="s">
        <v>1559</v>
      </c>
      <c r="D286" s="3" t="str">
        <f>IFERROR(MID(VLOOKUP($B286,Seqs!$A:$B,2,0),E286,1),"")</f>
        <v>P</v>
      </c>
      <c r="E286" s="3">
        <v>28</v>
      </c>
      <c r="F286" s="3" t="str">
        <f>IFERROR(MID(VLOOKUP($B286,Seqs!$A:$B,2,0),G286,1),"")</f>
        <v>A</v>
      </c>
      <c r="G286" s="3">
        <v>59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T</v>
      </c>
      <c r="M286" s="3">
        <v>65</v>
      </c>
      <c r="N286" s="3" t="str">
        <f>IFERROR(MID(VLOOKUP($B286,Seqs!$A:$B,2,0),O286,1),"")</f>
        <v>N</v>
      </c>
      <c r="O286" s="3">
        <v>96</v>
      </c>
      <c r="P286" s="3" t="str">
        <f>IFERROR(MID(VLOOKUP($B286,Seqs!$A:$B,2,0),Q286,1),"")</f>
        <v>E</v>
      </c>
      <c r="Q286" s="3">
        <v>97</v>
      </c>
      <c r="R286" s="3" t="str">
        <f>IFERROR(MID(VLOOKUP($B286,Seqs!$A:$B,2,0),S286,1),"")</f>
        <v>Y</v>
      </c>
      <c r="S286" s="3">
        <v>100</v>
      </c>
      <c r="T286" s="3" t="str">
        <f>IFERROR(MID(VLOOKUP($B286,Seqs!$A:$B,2,0),U286,1),"")</f>
        <v>G</v>
      </c>
      <c r="U286" s="3">
        <v>101</v>
      </c>
      <c r="V286" s="3" t="str">
        <f>IFERROR(MID(VLOOKUP($B286,Seqs!$A:$B,2,0),W286,1),"")</f>
        <v>H</v>
      </c>
      <c r="W286" s="3">
        <v>136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S</v>
      </c>
      <c r="AC286" s="3">
        <v>143</v>
      </c>
      <c r="AD286" s="3" t="str">
        <f>IFERROR(MID(VLOOKUP($B286,Seqs!$A:$B,2,0),AE286,1),"")</f>
        <v>S</v>
      </c>
      <c r="AE286" s="3">
        <v>169</v>
      </c>
      <c r="AF286" s="3" t="str">
        <f>IFERROR(MID(VLOOKUP($B286,Seqs!$A:$B,2,0),AG286,1),"")</f>
        <v>C</v>
      </c>
      <c r="AG286" s="3">
        <v>180</v>
      </c>
      <c r="AH286" s="3" t="str">
        <f>IFERROR(MID(VLOOKUP($B286,Seqs!$A:$B,2,0),AI286,1),"")</f>
        <v>I</v>
      </c>
      <c r="AI286" s="3">
        <v>182</v>
      </c>
      <c r="AJ286" s="3" t="str">
        <f>IFERROR(MID(VLOOKUP($B286,Seqs!$A:$B,2,0),AK286,1),"")</f>
        <v>I</v>
      </c>
      <c r="AK286" s="3">
        <v>191</v>
      </c>
      <c r="AL286" s="3" t="str">
        <f>IFERROR(MID(VLOOKUP($B286,Seqs!$A:$B,2,0),AM286,1),"")</f>
        <v>A</v>
      </c>
      <c r="AM286" s="3">
        <v>225</v>
      </c>
      <c r="AN286" s="3" t="str">
        <f>IFERROR(MID(VLOOKUP($B286,Seqs!$A:$B,2,0),AO286,1),"")</f>
        <v>A</v>
      </c>
      <c r="AO286" s="3">
        <v>242</v>
      </c>
      <c r="AP286" s="3" t="str">
        <f>IFERROR(MID(VLOOKUP($B286,Seqs!$A:$B,2,0),AQ286,1),"")</f>
        <v>N</v>
      </c>
      <c r="AQ286" s="3">
        <v>274</v>
      </c>
      <c r="AR286" s="3" t="str">
        <f>IFERROR(MID(VLOOKUP($B286,Seqs!$A:$B,2,0),AS286,1),"")</f>
        <v>F</v>
      </c>
      <c r="AS286" s="3">
        <v>282</v>
      </c>
      <c r="AT286" s="3" t="str">
        <f>IFERROR(MID(VLOOKUP($B286,Seqs!$A:$B,2,0),AU286,1),"")</f>
        <v>L</v>
      </c>
      <c r="AU286" s="3">
        <v>308</v>
      </c>
      <c r="AV286" s="3" t="str">
        <f>IFERROR(MID(VLOOKUP($B286,Seqs!$A:$B,2,0),AW286,1),"")</f>
        <v>N</v>
      </c>
      <c r="AW286" s="3">
        <v>309</v>
      </c>
      <c r="AX286" s="3" t="str">
        <f>IFERROR(MID(VLOOKUP($B286,Seqs!$A:$B,2,0),AY286,1),"")</f>
        <v>A</v>
      </c>
      <c r="AY286" s="3">
        <v>319</v>
      </c>
      <c r="AZ286" s="77" t="str">
        <f>VLOOKUP(B286,Classification!A:D,2,0)</f>
        <v>A</v>
      </c>
      <c r="BA286" s="94" t="str">
        <f>VLOOKUP(B286,Classification!A:D,4,0)</f>
        <v>Tachykinin</v>
      </c>
      <c r="BB286" s="27" t="b">
        <f t="shared" ref="BB286" si="2712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 t="shared" ref="BC286" si="2713">_xlfn.AGGREGATE(9,6,CH286:CS286)-_xlfn.AGGREGATE(9,6,BV286:CG286)+12</f>
        <v>242</v>
      </c>
      <c r="BD286" s="5" t="s">
        <v>23</v>
      </c>
      <c r="BE286" s="3" t="s">
        <v>1370</v>
      </c>
      <c r="BF286" s="118">
        <v>3.2</v>
      </c>
      <c r="BG286" s="49" t="s">
        <v>1</v>
      </c>
      <c r="BH286" s="49" t="s">
        <v>1</v>
      </c>
      <c r="BI286" s="1"/>
      <c r="BJ286" s="70" t="s">
        <v>1283</v>
      </c>
      <c r="BK286" s="57" t="s">
        <v>1283</v>
      </c>
      <c r="BL286" s="57" t="s">
        <v>1283</v>
      </c>
      <c r="BM286" s="57" t="s">
        <v>1283</v>
      </c>
      <c r="BN286" s="57" t="s">
        <v>1283</v>
      </c>
      <c r="BO286" s="57" t="s">
        <v>1283</v>
      </c>
      <c r="BP286" s="57" t="s">
        <v>1283</v>
      </c>
      <c r="BQ286" s="57" t="s">
        <v>1283</v>
      </c>
      <c r="BR286" s="57" t="s">
        <v>1283</v>
      </c>
      <c r="BS286" s="57" t="s">
        <v>1283</v>
      </c>
      <c r="BT286" s="57" t="s">
        <v>1283</v>
      </c>
      <c r="BU286" s="57" t="s">
        <v>1283</v>
      </c>
      <c r="BV286" s="70">
        <f t="shared" ref="BV286" si="2714">E286</f>
        <v>28</v>
      </c>
      <c r="BW286" s="71" t="str">
        <f t="shared" ref="BW286" si="2715">I286</f>
        <v>-</v>
      </c>
      <c r="BX286" s="72">
        <f t="shared" ref="BX286" si="2716">M286</f>
        <v>65</v>
      </c>
      <c r="BY286" s="71">
        <f t="shared" ref="BY286" si="2717">Q286</f>
        <v>97</v>
      </c>
      <c r="BZ286" s="72">
        <f t="shared" ref="BZ286" si="2718">U286</f>
        <v>101</v>
      </c>
      <c r="CA286" s="71" t="str">
        <f t="shared" ref="CA286" si="2719">Y286</f>
        <v>-</v>
      </c>
      <c r="CB286" s="72">
        <f t="shared" ref="CB286" si="2720">AC286</f>
        <v>143</v>
      </c>
      <c r="CC286" s="71">
        <f t="shared" ref="CC286" si="2721">AG286</f>
        <v>180</v>
      </c>
      <c r="CD286" s="72">
        <f t="shared" ref="CD286" si="2722">AK286</f>
        <v>191</v>
      </c>
      <c r="CE286" s="71">
        <f t="shared" ref="CE286" si="2723">AO286</f>
        <v>242</v>
      </c>
      <c r="CF286" s="72">
        <f t="shared" ref="CF286" si="2724">AS286</f>
        <v>282</v>
      </c>
      <c r="CG286" s="71">
        <f t="shared" ref="CG286" si="2725">AW286</f>
        <v>309</v>
      </c>
      <c r="CH286" s="70">
        <f t="shared" ref="CH286" si="2726">G286</f>
        <v>59</v>
      </c>
      <c r="CI286" s="71" t="str">
        <f t="shared" ref="CI286" si="2727">K286</f>
        <v>-</v>
      </c>
      <c r="CJ286" s="72">
        <f t="shared" ref="CJ286" si="2728">O286</f>
        <v>96</v>
      </c>
      <c r="CK286" s="72">
        <f t="shared" ref="CK286" si="2729">S286</f>
        <v>100</v>
      </c>
      <c r="CL286" s="72">
        <f t="shared" ref="CL286" si="2730">W286</f>
        <v>136</v>
      </c>
      <c r="CM286" s="72" t="str">
        <f t="shared" ref="CM286" si="2731">AA286</f>
        <v>-</v>
      </c>
      <c r="CN286" s="72">
        <f t="shared" ref="CN286" si="2732">AE286</f>
        <v>169</v>
      </c>
      <c r="CO286" s="72">
        <f t="shared" ref="CO286" si="2733">AI286</f>
        <v>182</v>
      </c>
      <c r="CP286" s="72">
        <f t="shared" ref="CP286" si="2734">AM286</f>
        <v>225</v>
      </c>
      <c r="CQ286" s="72">
        <f t="shared" ref="CQ286" si="2735">AQ286</f>
        <v>274</v>
      </c>
      <c r="CR286" s="72">
        <f t="shared" ref="CR286" si="2736">AU286</f>
        <v>308</v>
      </c>
      <c r="CS286" s="72">
        <f t="shared" ref="CS286" si="2737">AY286</f>
        <v>319</v>
      </c>
      <c r="CT286" s="23" t="e">
        <f t="shared" ref="CT286" si="2738">M286-K286</f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>CONCATENATE(B287,"_",C287)</f>
        <v>npy1r_human__wt</v>
      </c>
      <c r="B287" s="3" t="s">
        <v>324</v>
      </c>
      <c r="C287" s="3" t="s">
        <v>100</v>
      </c>
      <c r="D287" s="3" t="str">
        <f>IFERROR(MID(VLOOKUP($B287,Seqs!$A:$B,2,0),E287,1),"")</f>
        <v>P</v>
      </c>
      <c r="E287" s="3">
        <v>36</v>
      </c>
      <c r="F287" s="3" t="str">
        <f>IFERROR(MID(VLOOKUP($B287,Seqs!$A:$B,2,0),G287,1),"")</f>
        <v>Q</v>
      </c>
      <c r="G287" s="3">
        <v>68</v>
      </c>
      <c r="H287" s="3" t="str">
        <f>IFERROR(MID(VLOOKUP($B287,Seqs!$A:$B,2,0),I287,1),"")</f>
        <v>K</v>
      </c>
      <c r="I287" s="23">
        <v>69</v>
      </c>
      <c r="J287" s="3" t="str">
        <f>IFERROR(MID(VLOOKUP($B287,Seqs!$A:$B,2,0),K287,1),"")</f>
        <v>R</v>
      </c>
      <c r="K287" s="23">
        <v>72</v>
      </c>
      <c r="L287" s="3" t="str">
        <f>IFERROR(MID(VLOOKUP($B287,Seqs!$A:$B,2,0),M287,1),"")</f>
        <v>N</v>
      </c>
      <c r="M287" s="3">
        <v>73</v>
      </c>
      <c r="N287" s="3" t="str">
        <f>IFERROR(MID(VLOOKUP($B287,Seqs!$A:$B,2,0),O287,1),"")</f>
        <v>D</v>
      </c>
      <c r="O287" s="3">
        <v>104</v>
      </c>
      <c r="P287" s="3" t="str">
        <f>IFERROR(MID(VLOOKUP($B287,Seqs!$A:$B,2,0),Q287,1),"")</f>
        <v>H</v>
      </c>
      <c r="Q287" s="3">
        <v>105</v>
      </c>
      <c r="R287" s="3" t="str">
        <f>IFERROR(MID(VLOOKUP($B287,Seqs!$A:$B,2,0),S287,1),"")</f>
        <v>F</v>
      </c>
      <c r="S287" s="3">
        <v>108</v>
      </c>
      <c r="T287" s="3" t="str">
        <f>IFERROR(MID(VLOOKUP($B287,Seqs!$A:$B,2,0),U287,1),"")</f>
        <v>G</v>
      </c>
      <c r="U287" s="3">
        <v>109</v>
      </c>
      <c r="V287" s="3" t="str">
        <f>IFERROR(MID(VLOOKUP($B287,Seqs!$A:$B,2,0),W287,1),"")</f>
        <v>N</v>
      </c>
      <c r="W287" s="3">
        <v>144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3">
        <v>151</v>
      </c>
      <c r="AD287" s="3" t="str">
        <f>IFERROR(MID(VLOOKUP($B287,Seqs!$A:$B,2,0),AE287,1),"")</f>
        <v>Q</v>
      </c>
      <c r="AE287" s="3">
        <v>177</v>
      </c>
      <c r="AF287" s="3" t="str">
        <f>IFERROR(MID(VLOOKUP($B287,Seqs!$A:$B,2,0),AG287,1),"")</f>
        <v>C</v>
      </c>
      <c r="AG287" s="3">
        <v>198</v>
      </c>
      <c r="AH287" s="3" t="str">
        <f>IFERROR(MID(VLOOKUP($B287,Seqs!$A:$B,2,0),AI287,1),"")</f>
        <v>D</v>
      </c>
      <c r="AI287" s="3">
        <v>200</v>
      </c>
      <c r="AJ287" s="3" t="str">
        <f>IFERROR(MID(VLOOKUP($B287,Seqs!$A:$B,2,0),AK287,1),"")</f>
        <v>S</v>
      </c>
      <c r="AK287" s="3">
        <v>204</v>
      </c>
      <c r="AL287" s="3" t="str">
        <f>IFERROR(MID(VLOOKUP($B287,Seqs!$A:$B,2,0),AM287,1),"")</f>
        <v>M</v>
      </c>
      <c r="AM287" s="3">
        <v>245</v>
      </c>
      <c r="AN287" s="3" t="str">
        <f>IFERROR(MID(VLOOKUP($B287,Seqs!$A:$B,2,0),AO287,1),"")</f>
        <v>D</v>
      </c>
      <c r="AO287" s="3">
        <v>250</v>
      </c>
      <c r="AP287" s="3" t="str">
        <f>IFERROR(MID(VLOOKUP($B287,Seqs!$A:$B,2,0),AQ287,1),"")</f>
        <v>N</v>
      </c>
      <c r="AQ287" s="3">
        <v>289</v>
      </c>
      <c r="AR287" s="3" t="str">
        <f>IFERROR(MID(VLOOKUP($B287,Seqs!$A:$B,2,0),AS287,1),"")</f>
        <v>T</v>
      </c>
      <c r="AS287" s="3">
        <v>295</v>
      </c>
      <c r="AT287" s="3" t="str">
        <f>IFERROR(MID(VLOOKUP($B287,Seqs!$A:$B,2,0),AU287,1),"")</f>
        <v>L</v>
      </c>
      <c r="AU287" s="3">
        <v>323</v>
      </c>
      <c r="AV287" s="3" t="str">
        <f>IFERROR(MID(VLOOKUP($B287,Seqs!$A:$B,2,0),AW287,1),"")</f>
        <v>N</v>
      </c>
      <c r="AW287" s="3">
        <v>324</v>
      </c>
      <c r="AX287" s="3" t="str">
        <f>IFERROR(MID(VLOOKUP($B287,Seqs!$A:$B,2,0),AY287,1),"")</f>
        <v>F</v>
      </c>
      <c r="AY287" s="3">
        <v>335</v>
      </c>
      <c r="AZ287" s="77" t="str">
        <f>VLOOKUP(B287,Classification!A:D,2,0)</f>
        <v>A</v>
      </c>
      <c r="BA287" s="94" t="str">
        <f>VLOOKUP(B287,Classification!A:D,4,0)</f>
        <v>NeuropeptideY</v>
      </c>
      <c r="BB287" s="27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>_xlfn.AGGREGATE(9,6,CH287:CS287)-_xlfn.AGGREGATE(9,6,BV287:CG287)+12</f>
        <v>263</v>
      </c>
      <c r="BD287" s="5" t="s">
        <v>23</v>
      </c>
      <c r="BE287" s="3" t="s">
        <v>1370</v>
      </c>
      <c r="BF287" s="118" t="s">
        <v>23</v>
      </c>
      <c r="BG287" s="49" t="s">
        <v>1373</v>
      </c>
      <c r="BH287" s="49" t="s">
        <v>1373</v>
      </c>
      <c r="BI287" s="1"/>
      <c r="BJ287" s="70" t="s">
        <v>1283</v>
      </c>
      <c r="BK287" s="57" t="s">
        <v>1283</v>
      </c>
      <c r="BL287" s="57" t="s">
        <v>1283</v>
      </c>
      <c r="BM287" s="57" t="s">
        <v>1283</v>
      </c>
      <c r="BN287" s="57" t="s">
        <v>1283</v>
      </c>
      <c r="BO287" s="57" t="s">
        <v>1283</v>
      </c>
      <c r="BP287" s="57" t="s">
        <v>1283</v>
      </c>
      <c r="BQ287" s="57" t="s">
        <v>1283</v>
      </c>
      <c r="BR287" s="57" t="s">
        <v>1283</v>
      </c>
      <c r="BS287" s="57" t="s">
        <v>1283</v>
      </c>
      <c r="BT287" s="57" t="s">
        <v>1283</v>
      </c>
      <c r="BU287" s="57" t="s">
        <v>1283</v>
      </c>
      <c r="BV287" s="70">
        <f>E287</f>
        <v>36</v>
      </c>
      <c r="BW287" s="71">
        <f>I287</f>
        <v>69</v>
      </c>
      <c r="BX287" s="72">
        <f>M287</f>
        <v>73</v>
      </c>
      <c r="BY287" s="71">
        <f>Q287</f>
        <v>105</v>
      </c>
      <c r="BZ287" s="72">
        <f>U287</f>
        <v>109</v>
      </c>
      <c r="CA287" s="71" t="str">
        <f>Y287</f>
        <v>-</v>
      </c>
      <c r="CB287" s="72">
        <f>AC287</f>
        <v>151</v>
      </c>
      <c r="CC287" s="71">
        <f>AG287</f>
        <v>198</v>
      </c>
      <c r="CD287" s="72">
        <f>AK287</f>
        <v>204</v>
      </c>
      <c r="CE287" s="71">
        <f>AO287</f>
        <v>250</v>
      </c>
      <c r="CF287" s="72">
        <f>AS287</f>
        <v>295</v>
      </c>
      <c r="CG287" s="71">
        <f>AW287</f>
        <v>324</v>
      </c>
      <c r="CH287" s="70">
        <f>G287</f>
        <v>68</v>
      </c>
      <c r="CI287" s="71">
        <f>K287</f>
        <v>72</v>
      </c>
      <c r="CJ287" s="72">
        <f>O287</f>
        <v>104</v>
      </c>
      <c r="CK287" s="72">
        <f>S287</f>
        <v>108</v>
      </c>
      <c r="CL287" s="72">
        <f>W287</f>
        <v>144</v>
      </c>
      <c r="CM287" s="72" t="str">
        <f>AA287</f>
        <v>-</v>
      </c>
      <c r="CN287" s="72">
        <f>AE287</f>
        <v>177</v>
      </c>
      <c r="CO287" s="72">
        <f>AI287</f>
        <v>200</v>
      </c>
      <c r="CP287" s="72">
        <f>AM287</f>
        <v>245</v>
      </c>
      <c r="CQ287" s="72">
        <f>AQ287</f>
        <v>289</v>
      </c>
      <c r="CR287" s="72">
        <f>AU287</f>
        <v>323</v>
      </c>
      <c r="CS287" s="72">
        <f>AY287</f>
        <v>335</v>
      </c>
      <c r="CT287" s="23">
        <f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>CONCATENATE(B288,"_",C288)</f>
        <v>npy1r_human_5ZBH</v>
      </c>
      <c r="B288" s="3" t="s">
        <v>324</v>
      </c>
      <c r="C288" s="3" t="s">
        <v>1486</v>
      </c>
      <c r="D288" s="3" t="str">
        <f>IFERROR(MID(VLOOKUP($B288,Seqs!$A:$B,2,0),E288,1),"")</f>
        <v>P</v>
      </c>
      <c r="E288" s="3">
        <v>36</v>
      </c>
      <c r="F288" s="3" t="str">
        <f>IFERROR(MID(VLOOKUP($B288,Seqs!$A:$B,2,0),G288,1),"")</f>
        <v>Q</v>
      </c>
      <c r="G288" s="3">
        <v>68</v>
      </c>
      <c r="H288" s="3" t="str">
        <f>IFERROR(MID(VLOOKUP($B288,Seqs!$A:$B,2,0),I288,1),"")</f>
        <v>K</v>
      </c>
      <c r="I288" s="23">
        <v>69</v>
      </c>
      <c r="J288" s="3" t="str">
        <f>IFERROR(MID(VLOOKUP($B288,Seqs!$A:$B,2,0),K288,1),"")</f>
        <v>R</v>
      </c>
      <c r="K288" s="23">
        <v>72</v>
      </c>
      <c r="L288" s="3" t="str">
        <f>IFERROR(MID(VLOOKUP($B288,Seqs!$A:$B,2,0),M288,1),"")</f>
        <v>N</v>
      </c>
      <c r="M288" s="3">
        <v>73</v>
      </c>
      <c r="N288" s="3" t="str">
        <f>IFERROR(MID(VLOOKUP($B288,Seqs!$A:$B,2,0),O288,1),"")</f>
        <v>M</v>
      </c>
      <c r="O288" s="3">
        <v>103</v>
      </c>
      <c r="P288" s="3" t="str">
        <f>IFERROR(MID(VLOOKUP($B288,Seqs!$A:$B,2,0),Q288,1),"")</f>
        <v>H</v>
      </c>
      <c r="Q288" s="3">
        <v>105</v>
      </c>
      <c r="R288" s="3" t="str">
        <f>IFERROR(MID(VLOOKUP($B288,Seqs!$A:$B,2,0),S288,1),"")</f>
        <v>F</v>
      </c>
      <c r="S288" s="3">
        <v>108</v>
      </c>
      <c r="T288" s="3" t="str">
        <f>IFERROR(MID(VLOOKUP($B288,Seqs!$A:$B,2,0),U288,1),"")</f>
        <v>G</v>
      </c>
      <c r="U288" s="3">
        <v>109</v>
      </c>
      <c r="V288" s="3" t="str">
        <f>IFERROR(MID(VLOOKUP($B288,Seqs!$A:$B,2,0),W288,1),"")</f>
        <v>N</v>
      </c>
      <c r="W288" s="3">
        <v>144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N</v>
      </c>
      <c r="AC288" s="3">
        <v>151</v>
      </c>
      <c r="AD288" s="3" t="str">
        <f>IFERROR(MID(VLOOKUP($B288,Seqs!$A:$B,2,0),AE288,1),"")</f>
        <v>Y</v>
      </c>
      <c r="AE288" s="3">
        <v>176</v>
      </c>
      <c r="AF288" s="3" t="str">
        <f>IFERROR(MID(VLOOKUP($B288,Seqs!$A:$B,2,0),AG288,1),"")</f>
        <v>C</v>
      </c>
      <c r="AG288" s="3">
        <v>198</v>
      </c>
      <c r="AH288" s="3" t="str">
        <f>IFERROR(MID(VLOOKUP($B288,Seqs!$A:$B,2,0),AI288,1),"")</f>
        <v>D</v>
      </c>
      <c r="AI288" s="3">
        <v>200</v>
      </c>
      <c r="AJ288" s="3" t="str">
        <f>IFERROR(MID(VLOOKUP($B288,Seqs!$A:$B,2,0),AK288,1),"")</f>
        <v>S</v>
      </c>
      <c r="AK288" s="3">
        <v>204</v>
      </c>
      <c r="AL288" s="3" t="str">
        <f>IFERROR(MID(VLOOKUP($B288,Seqs!$A:$B,2,0),AM288,1),"")</f>
        <v>R</v>
      </c>
      <c r="AM288" s="3">
        <v>241</v>
      </c>
      <c r="AN288" s="3" t="str">
        <f>IFERROR(MID(VLOOKUP($B288,Seqs!$A:$B,2,0),AO288,1),"")</f>
        <v>Y</v>
      </c>
      <c r="AO288" s="3">
        <v>253</v>
      </c>
      <c r="AP288" s="3" t="str">
        <f>IFERROR(MID(VLOOKUP($B288,Seqs!$A:$B,2,0),AQ288,1),"")</f>
        <v>N</v>
      </c>
      <c r="AQ288" s="3">
        <v>289</v>
      </c>
      <c r="AR288" s="3" t="str">
        <f>IFERROR(MID(VLOOKUP($B288,Seqs!$A:$B,2,0),AS288,1),"")</f>
        <v>T</v>
      </c>
      <c r="AS288" s="3">
        <v>295</v>
      </c>
      <c r="AT288" s="3" t="str">
        <f>IFERROR(MID(VLOOKUP($B288,Seqs!$A:$B,2,0),AU288,1),"")</f>
        <v>L</v>
      </c>
      <c r="AU288" s="3">
        <v>323</v>
      </c>
      <c r="AV288" s="3" t="str">
        <f>IFERROR(MID(VLOOKUP($B288,Seqs!$A:$B,2,0),AW288,1),"")</f>
        <v>N</v>
      </c>
      <c r="AW288" s="3">
        <v>324</v>
      </c>
      <c r="AX288" s="3" t="str">
        <f>IFERROR(MID(VLOOKUP($B288,Seqs!$A:$B,2,0),AY288,1),"")</f>
        <v>F</v>
      </c>
      <c r="AY288" s="3">
        <v>335</v>
      </c>
      <c r="AZ288" s="77" t="str">
        <f>VLOOKUP(B288,Classification!A:D,2,0)</f>
        <v>A</v>
      </c>
      <c r="BA288" s="94" t="str">
        <f>VLOOKUP(B288,Classification!A:D,4,0)</f>
        <v>NeuropeptideY</v>
      </c>
      <c r="BB288" s="27" t="b">
        <f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>_xlfn.AGGREGATE(9,6,CH288:CS288)-_xlfn.AGGREGATE(9,6,BV288:CG288)+12</f>
        <v>254</v>
      </c>
      <c r="BD288" s="5" t="s">
        <v>1372</v>
      </c>
      <c r="BE288" s="3" t="s">
        <v>1370</v>
      </c>
      <c r="BF288" s="118">
        <v>3</v>
      </c>
      <c r="BG288" s="49" t="s">
        <v>1</v>
      </c>
      <c r="BH288" s="49" t="s">
        <v>1</v>
      </c>
      <c r="BI288" s="1"/>
      <c r="BJ288" s="70" t="s">
        <v>1283</v>
      </c>
      <c r="BK288" s="57" t="s">
        <v>1283</v>
      </c>
      <c r="BL288" s="57" t="s">
        <v>1283</v>
      </c>
      <c r="BM288" s="57" t="s">
        <v>1283</v>
      </c>
      <c r="BN288" s="57" t="s">
        <v>1283</v>
      </c>
      <c r="BO288" s="57" t="s">
        <v>1283</v>
      </c>
      <c r="BP288" s="57" t="s">
        <v>1283</v>
      </c>
      <c r="BQ288" s="57" t="s">
        <v>1283</v>
      </c>
      <c r="BR288" s="57" t="s">
        <v>1283</v>
      </c>
      <c r="BS288" s="57" t="s">
        <v>1283</v>
      </c>
      <c r="BT288" s="57" t="s">
        <v>1283</v>
      </c>
      <c r="BU288" s="57" t="s">
        <v>1283</v>
      </c>
      <c r="BV288" s="70">
        <f>E288</f>
        <v>36</v>
      </c>
      <c r="BW288" s="71">
        <f>I288</f>
        <v>69</v>
      </c>
      <c r="BX288" s="72">
        <f>M288</f>
        <v>73</v>
      </c>
      <c r="BY288" s="71">
        <f>Q288</f>
        <v>105</v>
      </c>
      <c r="BZ288" s="72">
        <f>U288</f>
        <v>109</v>
      </c>
      <c r="CA288" s="71" t="str">
        <f>Y288</f>
        <v>-</v>
      </c>
      <c r="CB288" s="72">
        <f>AC288</f>
        <v>151</v>
      </c>
      <c r="CC288" s="71">
        <f>AG288</f>
        <v>198</v>
      </c>
      <c r="CD288" s="72">
        <f>AK288</f>
        <v>204</v>
      </c>
      <c r="CE288" s="71">
        <f>AO288</f>
        <v>253</v>
      </c>
      <c r="CF288" s="72">
        <f>AS288</f>
        <v>295</v>
      </c>
      <c r="CG288" s="71">
        <f>AW288</f>
        <v>324</v>
      </c>
      <c r="CH288" s="70">
        <f>G288</f>
        <v>68</v>
      </c>
      <c r="CI288" s="71">
        <f>K288</f>
        <v>72</v>
      </c>
      <c r="CJ288" s="72">
        <f>O288</f>
        <v>103</v>
      </c>
      <c r="CK288" s="72">
        <f>S288</f>
        <v>108</v>
      </c>
      <c r="CL288" s="72">
        <f>W288</f>
        <v>144</v>
      </c>
      <c r="CM288" s="72" t="str">
        <f>AA288</f>
        <v>-</v>
      </c>
      <c r="CN288" s="72">
        <f>AE288</f>
        <v>176</v>
      </c>
      <c r="CO288" s="72">
        <f>AI288</f>
        <v>200</v>
      </c>
      <c r="CP288" s="72">
        <f>AM288</f>
        <v>241</v>
      </c>
      <c r="CQ288" s="72">
        <f>AQ288</f>
        <v>289</v>
      </c>
      <c r="CR288" s="72">
        <f>AU288</f>
        <v>323</v>
      </c>
      <c r="CS288" s="72">
        <f>AY288</f>
        <v>335</v>
      </c>
      <c r="CT288" s="23">
        <f>M288-K288</f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>CONCATENATE(B289,"_",C289)</f>
        <v>npy1r_human_5ZBQ</v>
      </c>
      <c r="B289" s="3" t="s">
        <v>324</v>
      </c>
      <c r="C289" s="3" t="s">
        <v>1485</v>
      </c>
      <c r="D289" s="3" t="str">
        <f>IFERROR(MID(VLOOKUP($B289,Seqs!$A:$B,2,0),E289,1),"")</f>
        <v>P</v>
      </c>
      <c r="E289" s="3">
        <v>36</v>
      </c>
      <c r="F289" s="3" t="str">
        <f>IFERROR(MID(VLOOKUP($B289,Seqs!$A:$B,2,0),G289,1),"")</f>
        <v>Q</v>
      </c>
      <c r="G289" s="3">
        <v>68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V</v>
      </c>
      <c r="M289" s="3">
        <v>74</v>
      </c>
      <c r="N289" s="3" t="str">
        <f>IFERROR(MID(VLOOKUP($B289,Seqs!$A:$B,2,0),O289,1),"")</f>
        <v>D</v>
      </c>
      <c r="O289" s="3">
        <v>104</v>
      </c>
      <c r="P289" s="3" t="str">
        <f>IFERROR(MID(VLOOKUP($B289,Seqs!$A:$B,2,0),Q289,1),"")</f>
        <v>W</v>
      </c>
      <c r="Q289" s="3">
        <v>106</v>
      </c>
      <c r="R289" s="3" t="str">
        <f>IFERROR(MID(VLOOKUP($B289,Seqs!$A:$B,2,0),S289,1),"")</f>
        <v>F</v>
      </c>
      <c r="S289" s="3">
        <v>108</v>
      </c>
      <c r="T289" s="3" t="str">
        <f>IFERROR(MID(VLOOKUP($B289,Seqs!$A:$B,2,0),U289,1),"")</f>
        <v>G</v>
      </c>
      <c r="U289" s="3">
        <v>109</v>
      </c>
      <c r="V289" s="3" t="str">
        <f>IFERROR(MID(VLOOKUP($B289,Seqs!$A:$B,2,0),W289,1),"")</f>
        <v>I</v>
      </c>
      <c r="W289" s="3">
        <v>143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N</v>
      </c>
      <c r="AC289" s="3">
        <v>151</v>
      </c>
      <c r="AD289" s="3" t="str">
        <f>IFERROR(MID(VLOOKUP($B289,Seqs!$A:$B,2,0),AE289,1),"")</f>
        <v>Q</v>
      </c>
      <c r="AE289" s="3">
        <v>177</v>
      </c>
      <c r="AF289" s="3" t="str">
        <f>IFERROR(MID(VLOOKUP($B289,Seqs!$A:$B,2,0),AG289,1),"")</f>
        <v>C</v>
      </c>
      <c r="AG289" s="3">
        <v>198</v>
      </c>
      <c r="AH289" s="3" t="str">
        <f>IFERROR(MID(VLOOKUP($B289,Seqs!$A:$B,2,0),AI289,1),"")</f>
        <v>D</v>
      </c>
      <c r="AI289" s="3">
        <v>200</v>
      </c>
      <c r="AJ289" s="3" t="str">
        <f>IFERROR(MID(VLOOKUP($B289,Seqs!$A:$B,2,0),AK289,1),"")</f>
        <v>S</v>
      </c>
      <c r="AK289" s="3">
        <v>204</v>
      </c>
      <c r="AL289" s="3" t="str">
        <f>IFERROR(MID(VLOOKUP($B289,Seqs!$A:$B,2,0),AM289,1),"")</f>
        <v>R</v>
      </c>
      <c r="AM289" s="3">
        <v>241</v>
      </c>
      <c r="AN289" s="3" t="str">
        <f>IFERROR(MID(VLOOKUP($B289,Seqs!$A:$B,2,0),AO289,1),"")</f>
        <v>T</v>
      </c>
      <c r="AO289" s="3">
        <v>258</v>
      </c>
      <c r="AP289" s="3" t="str">
        <f>IFERROR(MID(VLOOKUP($B289,Seqs!$A:$B,2,0),AQ289,1),"")</f>
        <v>N</v>
      </c>
      <c r="AQ289" s="3">
        <v>289</v>
      </c>
      <c r="AR289" s="3" t="str">
        <f>IFERROR(MID(VLOOKUP($B289,Seqs!$A:$B,2,0),AS289,1),"")</f>
        <v>T</v>
      </c>
      <c r="AS289" s="3">
        <v>295</v>
      </c>
      <c r="AT289" s="3" t="str">
        <f>IFERROR(MID(VLOOKUP($B289,Seqs!$A:$B,2,0),AU289,1),"")</f>
        <v>L</v>
      </c>
      <c r="AU289" s="3">
        <v>323</v>
      </c>
      <c r="AV289" s="3" t="str">
        <f>IFERROR(MID(VLOOKUP($B289,Seqs!$A:$B,2,0),AW289,1),"")</f>
        <v>N</v>
      </c>
      <c r="AW289" s="3">
        <v>324</v>
      </c>
      <c r="AX289" s="3" t="str">
        <f>IFERROR(MID(VLOOKUP($B289,Seqs!$A:$B,2,0),AY289,1),"")</f>
        <v>F</v>
      </c>
      <c r="AY289" s="3">
        <v>335</v>
      </c>
      <c r="AZ289" s="77" t="str">
        <f>VLOOKUP(B289,Classification!A:D,2,0)</f>
        <v>A</v>
      </c>
      <c r="BA289" s="94" t="str">
        <f>VLOOKUP(B289,Classification!A:D,4,0)</f>
        <v>NeuropeptideY</v>
      </c>
      <c r="BB289" s="27" t="b">
        <f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>
        <f>_xlfn.AGGREGATE(9,6,CH289:CS289)-_xlfn.AGGREGATE(9,6,BV289:CG289)+12</f>
        <v>245</v>
      </c>
      <c r="BD289" s="5" t="s">
        <v>23</v>
      </c>
      <c r="BE289" s="3" t="s">
        <v>1370</v>
      </c>
      <c r="BF289" s="118">
        <v>2.7</v>
      </c>
      <c r="BG289" s="49" t="s">
        <v>1</v>
      </c>
      <c r="BH289" s="49" t="s">
        <v>1</v>
      </c>
      <c r="BI289" s="1"/>
      <c r="BJ289" s="70" t="s">
        <v>1283</v>
      </c>
      <c r="BK289" s="57" t="s">
        <v>1283</v>
      </c>
      <c r="BL289" s="57" t="s">
        <v>1283</v>
      </c>
      <c r="BM289" s="57" t="s">
        <v>1283</v>
      </c>
      <c r="BN289" s="57" t="s">
        <v>1283</v>
      </c>
      <c r="BO289" s="57" t="s">
        <v>1283</v>
      </c>
      <c r="BP289" s="57" t="s">
        <v>1283</v>
      </c>
      <c r="BQ289" s="57" t="s">
        <v>1283</v>
      </c>
      <c r="BR289" s="57" t="s">
        <v>1283</v>
      </c>
      <c r="BS289" s="57" t="s">
        <v>1283</v>
      </c>
      <c r="BT289" s="57" t="s">
        <v>1283</v>
      </c>
      <c r="BU289" s="57" t="s">
        <v>1283</v>
      </c>
      <c r="BV289" s="70">
        <f>E289</f>
        <v>36</v>
      </c>
      <c r="BW289" s="71" t="str">
        <f>I289</f>
        <v>-</v>
      </c>
      <c r="BX289" s="72">
        <f>M289</f>
        <v>74</v>
      </c>
      <c r="BY289" s="71">
        <f>Q289</f>
        <v>106</v>
      </c>
      <c r="BZ289" s="72">
        <f>U289</f>
        <v>109</v>
      </c>
      <c r="CA289" s="71" t="str">
        <f>Y289</f>
        <v>-</v>
      </c>
      <c r="CB289" s="72">
        <f>AC289</f>
        <v>151</v>
      </c>
      <c r="CC289" s="71">
        <f>AG289</f>
        <v>198</v>
      </c>
      <c r="CD289" s="72">
        <f>AK289</f>
        <v>204</v>
      </c>
      <c r="CE289" s="71">
        <f>AO289</f>
        <v>258</v>
      </c>
      <c r="CF289" s="72">
        <f>AS289</f>
        <v>295</v>
      </c>
      <c r="CG289" s="71">
        <f>AW289</f>
        <v>324</v>
      </c>
      <c r="CH289" s="70">
        <f>G289</f>
        <v>68</v>
      </c>
      <c r="CI289" s="71" t="str">
        <f>K289</f>
        <v>-</v>
      </c>
      <c r="CJ289" s="72">
        <f>O289</f>
        <v>104</v>
      </c>
      <c r="CK289" s="72">
        <f>S289</f>
        <v>108</v>
      </c>
      <c r="CL289" s="72">
        <f>W289</f>
        <v>143</v>
      </c>
      <c r="CM289" s="72" t="str">
        <f>AA289</f>
        <v>-</v>
      </c>
      <c r="CN289" s="72">
        <f>AE289</f>
        <v>177</v>
      </c>
      <c r="CO289" s="72">
        <f>AI289</f>
        <v>200</v>
      </c>
      <c r="CP289" s="72">
        <f>AM289</f>
        <v>241</v>
      </c>
      <c r="CQ289" s="72">
        <f>AQ289</f>
        <v>289</v>
      </c>
      <c r="CR289" s="72">
        <f>AU289</f>
        <v>323</v>
      </c>
      <c r="CS289" s="72">
        <f>AY289</f>
        <v>335</v>
      </c>
      <c r="CT289" s="23" t="e">
        <f>M289-K289</f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ref="A290" si="2739">CONCATENATE(B290,"_",C290)</f>
        <v>ntr1_human__wt</v>
      </c>
      <c r="B290" s="3" t="s">
        <v>127</v>
      </c>
      <c r="C290" s="3" t="s">
        <v>100</v>
      </c>
      <c r="D290" s="3" t="str">
        <f>IFERROR(MID(VLOOKUP($B290,Seqs!$A:$B,2,0),E290,1),"")</f>
        <v>D</v>
      </c>
      <c r="E290" s="3">
        <v>59</v>
      </c>
      <c r="F290" s="3" t="str">
        <f>IFERROR(MID(VLOOKUP($B290,Seqs!$A:$B,2,0),G290,1),"")</f>
        <v>K</v>
      </c>
      <c r="G290" s="3">
        <v>91</v>
      </c>
      <c r="H290" s="3" t="str">
        <f>IFERROR(MID(VLOOKUP($B290,Seqs!$A:$B,2,0),I290,1),"")</f>
        <v>K</v>
      </c>
      <c r="I290" s="23">
        <v>92</v>
      </c>
      <c r="J290" s="3" t="str">
        <f>IFERROR(MID(VLOOKUP($B290,Seqs!$A:$B,2,0),K290,1),"")</f>
        <v>Q</v>
      </c>
      <c r="K290" s="23">
        <v>95</v>
      </c>
      <c r="L290" s="3" t="str">
        <f>IFERROR(MID(VLOOKUP($B290,Seqs!$A:$B,2,0),M290,1),"")</f>
        <v>S</v>
      </c>
      <c r="M290" s="3">
        <v>96</v>
      </c>
      <c r="N290" s="3" t="str">
        <f>IFERROR(MID(VLOOKUP($B290,Seqs!$A:$B,2,0),O290,1),"")</f>
        <v>V</v>
      </c>
      <c r="O290" s="3">
        <v>130</v>
      </c>
      <c r="P290" s="3" t="str">
        <f>IFERROR(MID(VLOOKUP($B290,Seqs!$A:$B,2,0),Q290,1),"")</f>
        <v>P</v>
      </c>
      <c r="Q290" s="3">
        <v>133</v>
      </c>
      <c r="R290" s="3" t="str">
        <f>IFERROR(MID(VLOOKUP($B290,Seqs!$A:$B,2,0),S290,1),"")</f>
        <v>F</v>
      </c>
      <c r="S290" s="3">
        <v>136</v>
      </c>
      <c r="T290" s="3" t="str">
        <f>IFERROR(MID(VLOOKUP($B290,Seqs!$A:$B,2,0),U290,1),"")</f>
        <v>G</v>
      </c>
      <c r="U290" s="3">
        <v>137</v>
      </c>
      <c r="V290" s="3" t="str">
        <f>IFERROR(MID(VLOOKUP($B290,Seqs!$A:$B,2,0),W290,1),"")</f>
        <v>H</v>
      </c>
      <c r="W290" s="3">
        <v>172</v>
      </c>
      <c r="X290" s="3" t="str">
        <f>IFERROR(MID(VLOOKUP($B290,Seqs!$A:$B,2,0),Y290,1),"")</f>
        <v>P</v>
      </c>
      <c r="Y290" s="3">
        <v>173</v>
      </c>
      <c r="Z290" s="3" t="str">
        <f>IFERROR(MID(VLOOKUP($B290,Seqs!$A:$B,2,0),AA290,1),"")</f>
        <v>M</v>
      </c>
      <c r="AA290" s="3">
        <v>180</v>
      </c>
      <c r="AB290" s="3" t="str">
        <f>IFERROR(MID(VLOOKUP($B290,Seqs!$A:$B,2,0),AC290,1),"")</f>
        <v>S</v>
      </c>
      <c r="AC290" s="3">
        <v>181</v>
      </c>
      <c r="AD290" s="3" t="str">
        <f>IFERROR(MID(VLOOKUP($B290,Seqs!$A:$B,2,0),AE290,1),"")</f>
        <v>M</v>
      </c>
      <c r="AE290" s="3">
        <v>207</v>
      </c>
      <c r="AF290" s="3" t="str">
        <f>IFERROR(MID(VLOOKUP($B290,Seqs!$A:$B,2,0),AG290,1),"")</f>
        <v>C</v>
      </c>
      <c r="AG290" s="3">
        <v>224</v>
      </c>
      <c r="AH290" s="3" t="str">
        <f>IFERROR(MID(VLOOKUP($B290,Seqs!$A:$B,2,0),AI290,1),"")</f>
        <v>P</v>
      </c>
      <c r="AI290" s="3">
        <v>226</v>
      </c>
      <c r="AJ290" s="3" t="str">
        <f>IFERROR(MID(VLOOKUP($B290,Seqs!$A:$B,2,0),AK290,1),"")</f>
        <v>H</v>
      </c>
      <c r="AK290" s="3">
        <v>229</v>
      </c>
      <c r="AL290" s="3" t="str">
        <f>IFERROR(MID(VLOOKUP($B290,Seqs!$A:$B,2,0),AM290,1),"")</f>
        <v>G</v>
      </c>
      <c r="AM290" s="3">
        <v>274</v>
      </c>
      <c r="AN290" s="3" t="str">
        <f>IFERROR(MID(VLOOKUP($B290,Seqs!$A:$B,2,0),AO290,1),"")</f>
        <v>P</v>
      </c>
      <c r="AO290" s="3">
        <v>292</v>
      </c>
      <c r="AP290" s="3" t="str">
        <f>IFERROR(MID(VLOOKUP($B290,Seqs!$A:$B,2,0),AQ290,1),"")</f>
        <v>I</v>
      </c>
      <c r="AQ290" s="3">
        <v>329</v>
      </c>
      <c r="AR290" s="3" t="str">
        <f>IFERROR(MID(VLOOKUP($B290,Seqs!$A:$B,2,0),AS290,1),"")</f>
        <v>T</v>
      </c>
      <c r="AS290" s="3">
        <v>335</v>
      </c>
      <c r="AT290" s="3" t="str">
        <f>IFERROR(MID(VLOOKUP($B290,Seqs!$A:$B,2,0),AU290,1),"")</f>
        <v>V</v>
      </c>
      <c r="AU290" s="3">
        <v>367</v>
      </c>
      <c r="AV290" s="3" t="str">
        <f>IFERROR(MID(VLOOKUP($B290,Seqs!$A:$B,2,0),AW290,1),"")</f>
        <v>S</v>
      </c>
      <c r="AW290" s="3">
        <v>368</v>
      </c>
      <c r="AX290" s="3" t="str">
        <f>IFERROR(MID(VLOOKUP($B290,Seqs!$A:$B,2,0),AY290,1),"")</f>
        <v>C</v>
      </c>
      <c r="AY290" s="3">
        <v>383</v>
      </c>
      <c r="AZ290" s="77" t="str">
        <f>VLOOKUP(B290,Classification!A:D,2,0)</f>
        <v>A</v>
      </c>
      <c r="BA290" s="94" t="str">
        <f>VLOOKUP(B290,Classification!A:D,4,0)</f>
        <v>Neurotensin</v>
      </c>
      <c r="BB290" s="27" t="b">
        <f t="shared" ref="BB290" si="2740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 t="s">
        <v>23</v>
      </c>
      <c r="BD290" s="56" t="s">
        <v>23</v>
      </c>
      <c r="BE290" s="3" t="s">
        <v>23</v>
      </c>
      <c r="BF290" s="118" t="s">
        <v>23</v>
      </c>
      <c r="BG290" s="49" t="s">
        <v>1368</v>
      </c>
      <c r="BH290" s="49" t="s">
        <v>1373</v>
      </c>
      <c r="BJ290" s="70" t="s">
        <v>1283</v>
      </c>
      <c r="BK290" s="57" t="s">
        <v>1283</v>
      </c>
      <c r="BL290" s="57" t="s">
        <v>1283</v>
      </c>
      <c r="BM290" s="57" t="s">
        <v>1283</v>
      </c>
      <c r="BN290" s="57" t="s">
        <v>1283</v>
      </c>
      <c r="BO290" s="57" t="s">
        <v>1283</v>
      </c>
      <c r="BP290" s="57" t="s">
        <v>1283</v>
      </c>
      <c r="BQ290" s="57" t="s">
        <v>1283</v>
      </c>
      <c r="BR290" s="57" t="s">
        <v>1283</v>
      </c>
      <c r="BS290" s="57" t="s">
        <v>1283</v>
      </c>
      <c r="BT290" s="57" t="s">
        <v>1283</v>
      </c>
      <c r="BU290" s="57" t="s">
        <v>1283</v>
      </c>
      <c r="BV290" s="70">
        <f t="shared" ref="BV290" si="2741">E290</f>
        <v>59</v>
      </c>
      <c r="BW290" s="71">
        <f t="shared" ref="BW290" si="2742">I290</f>
        <v>92</v>
      </c>
      <c r="BX290" s="72">
        <f t="shared" ref="BX290" si="2743">M290</f>
        <v>96</v>
      </c>
      <c r="BY290" s="71">
        <f t="shared" ref="BY290" si="2744">Q290</f>
        <v>133</v>
      </c>
      <c r="BZ290" s="72">
        <f t="shared" ref="BZ290" si="2745">U290</f>
        <v>137</v>
      </c>
      <c r="CA290" s="71">
        <f t="shared" ref="CA290" si="2746">Y290</f>
        <v>173</v>
      </c>
      <c r="CB290" s="72">
        <f t="shared" ref="CB290" si="2747">AC290</f>
        <v>181</v>
      </c>
      <c r="CC290" s="71">
        <f t="shared" ref="CC290" si="2748">AG290</f>
        <v>224</v>
      </c>
      <c r="CD290" s="72">
        <f t="shared" ref="CD290" si="2749">AK290</f>
        <v>229</v>
      </c>
      <c r="CE290" s="71">
        <f t="shared" ref="CE290" si="2750">AO290</f>
        <v>292</v>
      </c>
      <c r="CF290" s="72">
        <f t="shared" ref="CF290" si="2751">AS290</f>
        <v>335</v>
      </c>
      <c r="CG290" s="71">
        <f t="shared" ref="CG290" si="2752">AW290</f>
        <v>368</v>
      </c>
      <c r="CH290" s="70">
        <f t="shared" ref="CH290" si="2753">G290</f>
        <v>91</v>
      </c>
      <c r="CI290" s="71">
        <f t="shared" ref="CI290" si="2754">K290</f>
        <v>95</v>
      </c>
      <c r="CJ290" s="72">
        <f t="shared" ref="CJ290" si="2755">O290</f>
        <v>130</v>
      </c>
      <c r="CK290" s="72">
        <f t="shared" ref="CK290" si="2756">S290</f>
        <v>136</v>
      </c>
      <c r="CL290" s="72">
        <f t="shared" ref="CL290" si="2757">W290</f>
        <v>172</v>
      </c>
      <c r="CM290" s="72">
        <f t="shared" ref="CM290" si="2758">AA290</f>
        <v>180</v>
      </c>
      <c r="CN290" s="72">
        <f t="shared" ref="CN290" si="2759">AE290</f>
        <v>207</v>
      </c>
      <c r="CO290" s="72">
        <f t="shared" ref="CO290" si="2760">AI290</f>
        <v>226</v>
      </c>
      <c r="CP290" s="72">
        <f t="shared" ref="CP290" si="2761">AM290</f>
        <v>274</v>
      </c>
      <c r="CQ290" s="72">
        <f t="shared" ref="CQ290" si="2762">AQ290</f>
        <v>329</v>
      </c>
      <c r="CR290" s="72">
        <f t="shared" ref="CR290" si="2763">AU290</f>
        <v>367</v>
      </c>
      <c r="CS290" s="72">
        <f t="shared" ref="CS290" si="2764">AY290</f>
        <v>383</v>
      </c>
      <c r="CT290" s="23">
        <f t="shared" ref="CT290" si="2765">M290-K290</f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ref="A291" si="2766">CONCATENATE(B291,"_",C291)</f>
        <v>ntr1_human_6OS9</v>
      </c>
      <c r="B291" s="3" t="s">
        <v>127</v>
      </c>
      <c r="C291" s="3" t="s">
        <v>1579</v>
      </c>
      <c r="D291" s="3" t="str">
        <f>IFERROR(MID(VLOOKUP($B291,Seqs!$A:$B,2,0),E291,1),"")</f>
        <v>D</v>
      </c>
      <c r="E291" s="3">
        <v>59</v>
      </c>
      <c r="F291" s="3" t="str">
        <f>IFERROR(MID(VLOOKUP($B291,Seqs!$A:$B,2,0),G291,1),"")</f>
        <v>K</v>
      </c>
      <c r="G291" s="3">
        <v>91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Q</v>
      </c>
      <c r="M291" s="3">
        <v>98</v>
      </c>
      <c r="N291" s="3" t="str">
        <f>IFERROR(MID(VLOOKUP($B291,Seqs!$A:$B,2,0),O291,1),"")</f>
        <v>V</v>
      </c>
      <c r="O291" s="3">
        <v>130</v>
      </c>
      <c r="P291" s="3" t="str">
        <f>IFERROR(MID(VLOOKUP($B291,Seqs!$A:$B,2,0),Q291,1),"")</f>
        <v>P</v>
      </c>
      <c r="Q291" s="3">
        <v>133</v>
      </c>
      <c r="R291" s="3" t="str">
        <f>IFERROR(MID(VLOOKUP($B291,Seqs!$A:$B,2,0),S291,1),"")</f>
        <v>F</v>
      </c>
      <c r="S291" s="3">
        <v>136</v>
      </c>
      <c r="T291" s="3" t="str">
        <f>IFERROR(MID(VLOOKUP($B291,Seqs!$A:$B,2,0),U291,1),"")</f>
        <v>G</v>
      </c>
      <c r="U291" s="3">
        <v>137</v>
      </c>
      <c r="V291" s="3" t="str">
        <f>IFERROR(MID(VLOOKUP($B291,Seqs!$A:$B,2,0),W291,1),"")</f>
        <v>H</v>
      </c>
      <c r="W291" s="3">
        <v>172</v>
      </c>
      <c r="X291" s="3" t="str">
        <f>IFERROR(MID(VLOOKUP($B291,Seqs!$A:$B,2,0),Y291,1),"")</f>
        <v>P</v>
      </c>
      <c r="Y291" s="3">
        <v>173</v>
      </c>
      <c r="Z291" s="3" t="str">
        <f>IFERROR(MID(VLOOKUP($B291,Seqs!$A:$B,2,0),AA291,1),"")</f>
        <v>M</v>
      </c>
      <c r="AA291" s="3">
        <v>180</v>
      </c>
      <c r="AB291" s="3" t="str">
        <f>IFERROR(MID(VLOOKUP($B291,Seqs!$A:$B,2,0),AC291,1),"")</f>
        <v>S</v>
      </c>
      <c r="AC291" s="3">
        <v>181</v>
      </c>
      <c r="AD291" s="3" t="str">
        <f>IFERROR(MID(VLOOKUP($B291,Seqs!$A:$B,2,0),AE291,1),"")</f>
        <v>L</v>
      </c>
      <c r="AE291" s="3">
        <v>204</v>
      </c>
      <c r="AF291" s="3" t="str">
        <f>IFERROR(MID(VLOOKUP($B291,Seqs!$A:$B,2,0),AG291,1),"")</f>
        <v>C</v>
      </c>
      <c r="AG291" s="3">
        <v>224</v>
      </c>
      <c r="AH291" s="3" t="str">
        <f>IFERROR(MID(VLOOKUP($B291,Seqs!$A:$B,2,0),AI291,1),"")</f>
        <v>P</v>
      </c>
      <c r="AI291" s="3">
        <v>226</v>
      </c>
      <c r="AJ291" s="3" t="str">
        <f>IFERROR(MID(VLOOKUP($B291,Seqs!$A:$B,2,0),AK291,1),"")</f>
        <v>H</v>
      </c>
      <c r="AK291" s="3">
        <v>229</v>
      </c>
      <c r="AL291" s="3" t="str">
        <f>IFERROR(MID(VLOOKUP($B291,Seqs!$A:$B,2,0),AM291,1),"")</f>
        <v>E</v>
      </c>
      <c r="AM291" s="3">
        <v>272</v>
      </c>
      <c r="AN291" s="3" t="str">
        <f>IFERROR(MID(VLOOKUP($B291,Seqs!$A:$B,2,0),AO291,1),"")</f>
        <v>V</v>
      </c>
      <c r="AO291" s="3">
        <v>295</v>
      </c>
      <c r="AP291" s="3" t="str">
        <f>IFERROR(MID(VLOOKUP($B291,Seqs!$A:$B,2,0),AQ291,1),"")</f>
        <v>I</v>
      </c>
      <c r="AQ291" s="3">
        <v>329</v>
      </c>
      <c r="AR291" s="3" t="str">
        <f>IFERROR(MID(VLOOKUP($B291,Seqs!$A:$B,2,0),AS291,1),"")</f>
        <v>T</v>
      </c>
      <c r="AS291" s="3">
        <v>335</v>
      </c>
      <c r="AT291" s="3" t="str">
        <f>IFERROR(MID(VLOOKUP($B291,Seqs!$A:$B,2,0),AU291,1),"")</f>
        <v>L</v>
      </c>
      <c r="AU291" s="3">
        <v>366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Neurotensin</v>
      </c>
      <c r="BB291" s="27" t="b">
        <f t="shared" ref="BB291" si="2767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2768">_xlfn.AGGREGATE(9,6,CH291:CS291)-_xlfn.AGGREGATE(9,6,BV291:CG291)+12</f>
        <v>254</v>
      </c>
      <c r="BD291" s="56" t="s">
        <v>23</v>
      </c>
      <c r="BE291" s="3" t="s">
        <v>1424</v>
      </c>
      <c r="BF291" s="118">
        <v>3</v>
      </c>
      <c r="BG291" s="49" t="s">
        <v>1418</v>
      </c>
      <c r="BH291" s="49" t="s">
        <v>1418</v>
      </c>
      <c r="BJ291" s="70" t="s">
        <v>1283</v>
      </c>
      <c r="BK291" s="57" t="s">
        <v>1283</v>
      </c>
      <c r="BL291" s="57" t="s">
        <v>1283</v>
      </c>
      <c r="BM291" s="57" t="s">
        <v>1283</v>
      </c>
      <c r="BN291" s="57" t="s">
        <v>1283</v>
      </c>
      <c r="BO291" s="57" t="s">
        <v>1283</v>
      </c>
      <c r="BP291" s="57" t="s">
        <v>1283</v>
      </c>
      <c r="BQ291" s="57" t="s">
        <v>1283</v>
      </c>
      <c r="BR291" s="57" t="s">
        <v>1283</v>
      </c>
      <c r="BS291" s="57" t="s">
        <v>1283</v>
      </c>
      <c r="BT291" s="57" t="s">
        <v>1283</v>
      </c>
      <c r="BU291" s="57" t="s">
        <v>1283</v>
      </c>
      <c r="BV291" s="70">
        <f t="shared" ref="BV291" si="2769">E291</f>
        <v>59</v>
      </c>
      <c r="BW291" s="71" t="str">
        <f t="shared" ref="BW291" si="2770">I291</f>
        <v>-</v>
      </c>
      <c r="BX291" s="72">
        <f t="shared" ref="BX291" si="2771">M291</f>
        <v>98</v>
      </c>
      <c r="BY291" s="71">
        <f t="shared" ref="BY291" si="2772">Q291</f>
        <v>133</v>
      </c>
      <c r="BZ291" s="72">
        <f t="shared" ref="BZ291" si="2773">U291</f>
        <v>137</v>
      </c>
      <c r="CA291" s="71">
        <f t="shared" ref="CA291" si="2774">Y291</f>
        <v>173</v>
      </c>
      <c r="CB291" s="72">
        <f t="shared" ref="CB291" si="2775">AC291</f>
        <v>181</v>
      </c>
      <c r="CC291" s="71">
        <f t="shared" ref="CC291" si="2776">AG291</f>
        <v>224</v>
      </c>
      <c r="CD291" s="72">
        <f t="shared" ref="CD291" si="2777">AK291</f>
        <v>229</v>
      </c>
      <c r="CE291" s="71">
        <f t="shared" ref="CE291" si="2778">AO291</f>
        <v>295</v>
      </c>
      <c r="CF291" s="72">
        <f t="shared" ref="CF291" si="2779">AS291</f>
        <v>335</v>
      </c>
      <c r="CG291" s="71" t="str">
        <f t="shared" ref="CG291" si="2780">AW291</f>
        <v>-</v>
      </c>
      <c r="CH291" s="70">
        <f t="shared" ref="CH291" si="2781">G291</f>
        <v>91</v>
      </c>
      <c r="CI291" s="71" t="str">
        <f t="shared" ref="CI291" si="2782">K291</f>
        <v>-</v>
      </c>
      <c r="CJ291" s="72">
        <f t="shared" ref="CJ291" si="2783">O291</f>
        <v>130</v>
      </c>
      <c r="CK291" s="72">
        <f t="shared" ref="CK291" si="2784">S291</f>
        <v>136</v>
      </c>
      <c r="CL291" s="72">
        <f t="shared" ref="CL291" si="2785">W291</f>
        <v>172</v>
      </c>
      <c r="CM291" s="72">
        <f t="shared" ref="CM291" si="2786">AA291</f>
        <v>180</v>
      </c>
      <c r="CN291" s="72">
        <f t="shared" ref="CN291" si="2787">AE291</f>
        <v>204</v>
      </c>
      <c r="CO291" s="72">
        <f t="shared" ref="CO291" si="2788">AI291</f>
        <v>226</v>
      </c>
      <c r="CP291" s="72">
        <f t="shared" ref="CP291" si="2789">AM291</f>
        <v>272</v>
      </c>
      <c r="CQ291" s="72">
        <f t="shared" ref="CQ291" si="2790">AQ291</f>
        <v>329</v>
      </c>
      <c r="CR291" s="72">
        <f t="shared" ref="CR291" si="2791">AU291</f>
        <v>366</v>
      </c>
      <c r="CS291" s="72" t="str">
        <f t="shared" ref="CS291" si="2792">AY291</f>
        <v>-</v>
      </c>
      <c r="CT291" s="23" t="e">
        <f t="shared" ref="CT291" si="2793">M291-K291</f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ref="A292" si="2794">CONCATENATE(B292,"_",C292)</f>
        <v>ntr1_human_6OSA</v>
      </c>
      <c r="B292" s="3" t="s">
        <v>127</v>
      </c>
      <c r="C292" s="3" t="s">
        <v>1580</v>
      </c>
      <c r="D292" s="3" t="str">
        <f>IFERROR(MID(VLOOKUP($B292,Seqs!$A:$B,2,0),E292,1),"")</f>
        <v>D</v>
      </c>
      <c r="E292" s="3">
        <v>59</v>
      </c>
      <c r="F292" s="3" t="str">
        <f>IFERROR(MID(VLOOKUP($B292,Seqs!$A:$B,2,0),G292,1),"")</f>
        <v>K</v>
      </c>
      <c r="G292" s="3">
        <v>91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L</v>
      </c>
      <c r="M292" s="3">
        <v>97</v>
      </c>
      <c r="N292" s="3" t="str">
        <f>IFERROR(MID(VLOOKUP($B292,Seqs!$A:$B,2,0),O292,1),"")</f>
        <v>V</v>
      </c>
      <c r="O292" s="3">
        <v>130</v>
      </c>
      <c r="P292" s="3" t="str">
        <f>IFERROR(MID(VLOOKUP($B292,Seqs!$A:$B,2,0),Q292,1),"")</f>
        <v>P</v>
      </c>
      <c r="Q292" s="3">
        <v>133</v>
      </c>
      <c r="R292" s="3" t="str">
        <f>IFERROR(MID(VLOOKUP($B292,Seqs!$A:$B,2,0),S292,1),"")</f>
        <v>F</v>
      </c>
      <c r="S292" s="3">
        <v>136</v>
      </c>
      <c r="T292" s="3" t="str">
        <f>IFERROR(MID(VLOOKUP($B292,Seqs!$A:$B,2,0),U292,1),"")</f>
        <v>A</v>
      </c>
      <c r="U292" s="3">
        <v>139</v>
      </c>
      <c r="V292" s="3" t="str">
        <f>IFERROR(MID(VLOOKUP($B292,Seqs!$A:$B,2,0),W292,1),"")</f>
        <v>C</v>
      </c>
      <c r="W292" s="3">
        <v>171</v>
      </c>
      <c r="X292" s="3" t="str">
        <f>IFERROR(MID(VLOOKUP($B292,Seqs!$A:$B,2,0),Y292,1),"")</f>
        <v>P</v>
      </c>
      <c r="Y292" s="3">
        <v>173</v>
      </c>
      <c r="Z292" s="3" t="str">
        <f>IFERROR(MID(VLOOKUP($B292,Seqs!$A:$B,2,0),AA292,1),"")</f>
        <v>M</v>
      </c>
      <c r="AA292" s="3">
        <v>180</v>
      </c>
      <c r="AB292" s="3" t="str">
        <f>IFERROR(MID(VLOOKUP($B292,Seqs!$A:$B,2,0),AC292,1),"")</f>
        <v>S</v>
      </c>
      <c r="AC292" s="3">
        <v>181</v>
      </c>
      <c r="AD292" s="3" t="str">
        <f>IFERROR(MID(VLOOKUP($B292,Seqs!$A:$B,2,0),AE292,1),"")</f>
        <v>M</v>
      </c>
      <c r="AE292" s="3">
        <v>207</v>
      </c>
      <c r="AF292" s="3" t="str">
        <f>IFERROR(MID(VLOOKUP($B292,Seqs!$A:$B,2,0),AG292,1),"")</f>
        <v>C</v>
      </c>
      <c r="AG292" s="3">
        <v>224</v>
      </c>
      <c r="AH292" s="3" t="str">
        <f>IFERROR(MID(VLOOKUP($B292,Seqs!$A:$B,2,0),AI292,1),"")</f>
        <v>P</v>
      </c>
      <c r="AI292" s="3">
        <v>226</v>
      </c>
      <c r="AJ292" s="3" t="str">
        <f>IFERROR(MID(VLOOKUP($B292,Seqs!$A:$B,2,0),AK292,1),"")</f>
        <v>H</v>
      </c>
      <c r="AK292" s="3">
        <v>229</v>
      </c>
      <c r="AL292" s="3" t="str">
        <f>IFERROR(MID(VLOOKUP($B292,Seqs!$A:$B,2,0),AM292,1),"")</f>
        <v>Q</v>
      </c>
      <c r="AM292" s="3">
        <v>273</v>
      </c>
      <c r="AN292" s="3" t="str">
        <f>IFERROR(MID(VLOOKUP($B292,Seqs!$A:$B,2,0),AO292,1),"")</f>
        <v>G</v>
      </c>
      <c r="AO292" s="3">
        <v>280</v>
      </c>
      <c r="AP292" s="3" t="str">
        <f>IFERROR(MID(VLOOKUP($B292,Seqs!$A:$B,2,0),AQ292,1),"")</f>
        <v>Y</v>
      </c>
      <c r="AQ292" s="3">
        <v>328</v>
      </c>
      <c r="AR292" s="3" t="str">
        <f>IFERROR(MID(VLOOKUP($B292,Seqs!$A:$B,2,0),AS292,1),"")</f>
        <v>T</v>
      </c>
      <c r="AS292" s="3">
        <v>335</v>
      </c>
      <c r="AT292" s="3" t="str">
        <f>IFERROR(MID(VLOOKUP($B292,Seqs!$A:$B,2,0),AU292,1),"")</f>
        <v>V</v>
      </c>
      <c r="AU292" s="3">
        <v>367</v>
      </c>
      <c r="AV292" s="3" t="str">
        <f>IFERROR(MID(VLOOKUP($B292,Seqs!$A:$B,2,0),AW292,1),"")</f>
        <v>S</v>
      </c>
      <c r="AW292" s="3">
        <v>368</v>
      </c>
      <c r="AX292" s="3" t="str">
        <f>IFERROR(MID(VLOOKUP($B292,Seqs!$A:$B,2,0),AY292,1),"")</f>
        <v>C</v>
      </c>
      <c r="AY292" s="3">
        <v>383</v>
      </c>
      <c r="AZ292" s="77" t="str">
        <f>VLOOKUP(B292,Classification!A:D,2,0)</f>
        <v>A</v>
      </c>
      <c r="BA292" s="94" t="str">
        <f>VLOOKUP(B292,Classification!A:D,4,0)</f>
        <v>Neurotensin</v>
      </c>
      <c r="BB292" s="27" t="b">
        <f t="shared" ref="BB292" si="2795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2796">_xlfn.AGGREGATE(9,6,CH292:CS292)-_xlfn.AGGREGATE(9,6,BV292:CG292)+12</f>
        <v>286</v>
      </c>
      <c r="BD292" s="56" t="s">
        <v>1425</v>
      </c>
      <c r="BE292" s="3" t="s">
        <v>1424</v>
      </c>
      <c r="BF292" s="118">
        <v>3</v>
      </c>
      <c r="BG292" s="49" t="s">
        <v>1418</v>
      </c>
      <c r="BH292" s="49" t="s">
        <v>1418</v>
      </c>
      <c r="BJ292" s="70" t="s">
        <v>1283</v>
      </c>
      <c r="BK292" s="57" t="s">
        <v>1283</v>
      </c>
      <c r="BL292" s="57" t="s">
        <v>1283</v>
      </c>
      <c r="BM292" s="57" t="s">
        <v>1283</v>
      </c>
      <c r="BN292" s="57" t="s">
        <v>1283</v>
      </c>
      <c r="BO292" s="57" t="s">
        <v>1283</v>
      </c>
      <c r="BP292" s="57" t="s">
        <v>1283</v>
      </c>
      <c r="BQ292" s="57" t="s">
        <v>1283</v>
      </c>
      <c r="BR292" s="57" t="s">
        <v>1283</v>
      </c>
      <c r="BS292" s="57" t="s">
        <v>1283</v>
      </c>
      <c r="BT292" s="57" t="s">
        <v>1283</v>
      </c>
      <c r="BU292" s="57" t="s">
        <v>1283</v>
      </c>
      <c r="BV292" s="70">
        <f t="shared" ref="BV292" si="2797">E292</f>
        <v>59</v>
      </c>
      <c r="BW292" s="71" t="str">
        <f t="shared" ref="BW292" si="2798">I292</f>
        <v>-</v>
      </c>
      <c r="BX292" s="72">
        <f t="shared" ref="BX292" si="2799">M292</f>
        <v>97</v>
      </c>
      <c r="BY292" s="71">
        <f t="shared" ref="BY292" si="2800">Q292</f>
        <v>133</v>
      </c>
      <c r="BZ292" s="72">
        <f t="shared" ref="BZ292" si="2801">U292</f>
        <v>139</v>
      </c>
      <c r="CA292" s="71">
        <f t="shared" ref="CA292" si="2802">Y292</f>
        <v>173</v>
      </c>
      <c r="CB292" s="72">
        <f t="shared" ref="CB292" si="2803">AC292</f>
        <v>181</v>
      </c>
      <c r="CC292" s="71">
        <f t="shared" ref="CC292" si="2804">AG292</f>
        <v>224</v>
      </c>
      <c r="CD292" s="72">
        <f t="shared" ref="CD292" si="2805">AK292</f>
        <v>229</v>
      </c>
      <c r="CE292" s="71">
        <f t="shared" ref="CE292" si="2806">AO292</f>
        <v>280</v>
      </c>
      <c r="CF292" s="72">
        <f t="shared" ref="CF292" si="2807">AS292</f>
        <v>335</v>
      </c>
      <c r="CG292" s="71">
        <f t="shared" ref="CG292" si="2808">AW292</f>
        <v>368</v>
      </c>
      <c r="CH292" s="70">
        <f t="shared" ref="CH292" si="2809">G292</f>
        <v>91</v>
      </c>
      <c r="CI292" s="71" t="str">
        <f t="shared" ref="CI292" si="2810">K292</f>
        <v>-</v>
      </c>
      <c r="CJ292" s="72">
        <f t="shared" ref="CJ292" si="2811">O292</f>
        <v>130</v>
      </c>
      <c r="CK292" s="72">
        <f t="shared" ref="CK292" si="2812">S292</f>
        <v>136</v>
      </c>
      <c r="CL292" s="72">
        <f t="shared" ref="CL292" si="2813">W292</f>
        <v>171</v>
      </c>
      <c r="CM292" s="72">
        <f t="shared" ref="CM292" si="2814">AA292</f>
        <v>180</v>
      </c>
      <c r="CN292" s="72">
        <f t="shared" ref="CN292" si="2815">AE292</f>
        <v>207</v>
      </c>
      <c r="CO292" s="72">
        <f t="shared" ref="CO292" si="2816">AI292</f>
        <v>226</v>
      </c>
      <c r="CP292" s="72">
        <f t="shared" ref="CP292" si="2817">AM292</f>
        <v>273</v>
      </c>
      <c r="CQ292" s="72">
        <f t="shared" ref="CQ292" si="2818">AQ292</f>
        <v>328</v>
      </c>
      <c r="CR292" s="72">
        <f t="shared" ref="CR292" si="2819">AU292</f>
        <v>367</v>
      </c>
      <c r="CS292" s="72">
        <f t="shared" ref="CS292" si="2820">AY292</f>
        <v>383</v>
      </c>
      <c r="CT292" s="23" t="e">
        <f t="shared" ref="CT292" si="2821">M292-K292</f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ref="A293" si="2822">CONCATENATE(B293,"_",C293)</f>
        <v>ntr1_human_6PWC</v>
      </c>
      <c r="B293" s="3" t="s">
        <v>127</v>
      </c>
      <c r="C293" s="3" t="s">
        <v>1614</v>
      </c>
      <c r="D293" s="3" t="str">
        <f>IFERROR(MID(VLOOKUP($B293,Seqs!$A:$B,2,0),E293,1),"")</f>
        <v>D</v>
      </c>
      <c r="E293" s="3">
        <v>59</v>
      </c>
      <c r="F293" s="3" t="str">
        <f>IFERROR(MID(VLOOKUP($B293,Seqs!$A:$B,2,0),G293,1),"")</f>
        <v>K</v>
      </c>
      <c r="G293" s="3">
        <v>91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Q</v>
      </c>
      <c r="M293" s="3">
        <v>98</v>
      </c>
      <c r="N293" s="3" t="str">
        <f>IFERROR(MID(VLOOKUP($B293,Seqs!$A:$B,2,0),O293,1),"")</f>
        <v>W</v>
      </c>
      <c r="O293" s="3">
        <v>129</v>
      </c>
      <c r="P293" s="3" t="str">
        <f>IFERROR(MID(VLOOKUP($B293,Seqs!$A:$B,2,0),Q293,1),"")</f>
        <v>P</v>
      </c>
      <c r="Q293" s="3">
        <v>133</v>
      </c>
      <c r="R293" s="3" t="str">
        <f>IFERROR(MID(VLOOKUP($B293,Seqs!$A:$B,2,0),S293,1),"")</f>
        <v>F</v>
      </c>
      <c r="S293" s="3">
        <v>136</v>
      </c>
      <c r="T293" s="3" t="str">
        <f>IFERROR(MID(VLOOKUP($B293,Seqs!$A:$B,2,0),U293,1),"")</f>
        <v>G</v>
      </c>
      <c r="U293" s="3">
        <v>137</v>
      </c>
      <c r="V293" s="3" t="str">
        <f>IFERROR(MID(VLOOKUP($B293,Seqs!$A:$B,2,0),W293,1),"")</f>
        <v>H</v>
      </c>
      <c r="W293" s="3">
        <v>172</v>
      </c>
      <c r="X293" s="3" t="str">
        <f>IFERROR(MID(VLOOKUP($B293,Seqs!$A:$B,2,0),Y293,1),"")</f>
        <v>P</v>
      </c>
      <c r="Y293" s="3">
        <v>173</v>
      </c>
      <c r="Z293" s="3" t="str">
        <f>IFERROR(MID(VLOOKUP($B293,Seqs!$A:$B,2,0),AA293,1),"")</f>
        <v>M</v>
      </c>
      <c r="AA293" s="3">
        <v>180</v>
      </c>
      <c r="AB293" s="3" t="str">
        <f>IFERROR(MID(VLOOKUP($B293,Seqs!$A:$B,2,0),AC293,1),"")</f>
        <v>S</v>
      </c>
      <c r="AC293" s="3">
        <v>181</v>
      </c>
      <c r="AD293" s="3" t="str">
        <f>IFERROR(MID(VLOOKUP($B293,Seqs!$A:$B,2,0),AE293,1),"")</f>
        <v>T</v>
      </c>
      <c r="AE293" s="3">
        <v>206</v>
      </c>
      <c r="AF293" s="3" t="str">
        <f>IFERROR(MID(VLOOKUP($B293,Seqs!$A:$B,2,0),AG293,1),"")</f>
        <v>C</v>
      </c>
      <c r="AG293" s="3">
        <v>224</v>
      </c>
      <c r="AH293" s="3" t="str">
        <f>IFERROR(MID(VLOOKUP($B293,Seqs!$A:$B,2,0),AI293,1),"")</f>
        <v>P</v>
      </c>
      <c r="AI293" s="3">
        <v>226</v>
      </c>
      <c r="AJ293" s="3" t="str">
        <f>IFERROR(MID(VLOOKUP($B293,Seqs!$A:$B,2,0),AK293,1),"")</f>
        <v>H</v>
      </c>
      <c r="AK293" s="3">
        <v>229</v>
      </c>
      <c r="AL293" s="3" t="str">
        <f>IFERROR(MID(VLOOKUP($B293,Seqs!$A:$B,2,0),AM293,1),"")</f>
        <v>Q</v>
      </c>
      <c r="AM293" s="3">
        <v>269</v>
      </c>
      <c r="AN293" s="3" t="str">
        <f>IFERROR(MID(VLOOKUP($B293,Seqs!$A:$B,2,0),AO293,1),"")</f>
        <v>G</v>
      </c>
      <c r="AO293" s="3">
        <v>293</v>
      </c>
      <c r="AP293" s="3" t="str">
        <f>IFERROR(MID(VLOOKUP($B293,Seqs!$A:$B,2,0),AQ293,1),"")</f>
        <v>I</v>
      </c>
      <c r="AQ293" s="3">
        <v>329</v>
      </c>
      <c r="AR293" s="3" t="str">
        <f>IFERROR(MID(VLOOKUP($B293,Seqs!$A:$B,2,0),AS293,1),"")</f>
        <v>T</v>
      </c>
      <c r="AS293" s="3">
        <v>335</v>
      </c>
      <c r="AT293" s="3" t="str">
        <f>IFERROR(MID(VLOOKUP($B293,Seqs!$A:$B,2,0),AU293,1),"")</f>
        <v>V</v>
      </c>
      <c r="AU293" s="3">
        <v>367</v>
      </c>
      <c r="AV293" s="3" t="str">
        <f>IFERROR(MID(VLOOKUP($B293,Seqs!$A:$B,2,0),AW293,1),"")</f>
        <v>S</v>
      </c>
      <c r="AW293" s="3">
        <v>368</v>
      </c>
      <c r="AX293" s="3" t="str">
        <f>IFERROR(MID(VLOOKUP($B293,Seqs!$A:$B,2,0),AY293,1),"")</f>
        <v>C</v>
      </c>
      <c r="AY293" s="3">
        <v>383</v>
      </c>
      <c r="AZ293" s="77" t="str">
        <f>VLOOKUP(B293,Classification!A:D,2,0)</f>
        <v>A</v>
      </c>
      <c r="BA293" s="94" t="str">
        <f>VLOOKUP(B293,Classification!A:D,4,0)</f>
        <v>Neurotensin</v>
      </c>
      <c r="BB293" s="27" t="b">
        <f t="shared" ref="BB293" si="2823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" si="2824">_xlfn.AGGREGATE(9,6,CH293:CS293)-_xlfn.AGGREGATE(9,6,BV293:CG293)+12</f>
        <v>270</v>
      </c>
      <c r="BD293" s="56" t="s">
        <v>1371</v>
      </c>
      <c r="BE293" s="3" t="s">
        <v>1287</v>
      </c>
      <c r="BF293" s="118">
        <v>4.9000000000000004</v>
      </c>
      <c r="BG293" s="49" t="s">
        <v>1418</v>
      </c>
      <c r="BH293" s="49" t="s">
        <v>1418</v>
      </c>
      <c r="BJ293" s="70" t="s">
        <v>1283</v>
      </c>
      <c r="BK293" s="57" t="s">
        <v>1283</v>
      </c>
      <c r="BL293" s="57" t="s">
        <v>1283</v>
      </c>
      <c r="BM293" s="57" t="s">
        <v>1283</v>
      </c>
      <c r="BN293" s="57" t="s">
        <v>1283</v>
      </c>
      <c r="BO293" s="57" t="s">
        <v>1283</v>
      </c>
      <c r="BP293" s="57" t="s">
        <v>1283</v>
      </c>
      <c r="BQ293" s="57" t="s">
        <v>1283</v>
      </c>
      <c r="BR293" s="57" t="s">
        <v>1283</v>
      </c>
      <c r="BS293" s="57" t="s">
        <v>1283</v>
      </c>
      <c r="BT293" s="57" t="s">
        <v>1283</v>
      </c>
      <c r="BU293" s="57" t="s">
        <v>1283</v>
      </c>
      <c r="BV293" s="70">
        <f t="shared" ref="BV293" si="2825">E293</f>
        <v>59</v>
      </c>
      <c r="BW293" s="71" t="str">
        <f t="shared" ref="BW293" si="2826">I293</f>
        <v>-</v>
      </c>
      <c r="BX293" s="72">
        <f t="shared" ref="BX293" si="2827">M293</f>
        <v>98</v>
      </c>
      <c r="BY293" s="71">
        <f t="shared" ref="BY293" si="2828">Q293</f>
        <v>133</v>
      </c>
      <c r="BZ293" s="72">
        <f t="shared" ref="BZ293" si="2829">U293</f>
        <v>137</v>
      </c>
      <c r="CA293" s="71">
        <f t="shared" ref="CA293" si="2830">Y293</f>
        <v>173</v>
      </c>
      <c r="CB293" s="72">
        <f t="shared" ref="CB293" si="2831">AC293</f>
        <v>181</v>
      </c>
      <c r="CC293" s="71">
        <f t="shared" ref="CC293" si="2832">AG293</f>
        <v>224</v>
      </c>
      <c r="CD293" s="72">
        <f t="shared" ref="CD293" si="2833">AK293</f>
        <v>229</v>
      </c>
      <c r="CE293" s="71">
        <f t="shared" ref="CE293" si="2834">AO293</f>
        <v>293</v>
      </c>
      <c r="CF293" s="72">
        <f t="shared" ref="CF293" si="2835">AS293</f>
        <v>335</v>
      </c>
      <c r="CG293" s="71">
        <f t="shared" ref="CG293" si="2836">AW293</f>
        <v>368</v>
      </c>
      <c r="CH293" s="70">
        <f t="shared" ref="CH293" si="2837">G293</f>
        <v>91</v>
      </c>
      <c r="CI293" s="71" t="str">
        <f t="shared" ref="CI293" si="2838">K293</f>
        <v>-</v>
      </c>
      <c r="CJ293" s="72">
        <f t="shared" ref="CJ293" si="2839">O293</f>
        <v>129</v>
      </c>
      <c r="CK293" s="72">
        <f t="shared" ref="CK293" si="2840">S293</f>
        <v>136</v>
      </c>
      <c r="CL293" s="72">
        <f t="shared" ref="CL293" si="2841">W293</f>
        <v>172</v>
      </c>
      <c r="CM293" s="72">
        <f t="shared" ref="CM293" si="2842">AA293</f>
        <v>180</v>
      </c>
      <c r="CN293" s="72">
        <f t="shared" ref="CN293" si="2843">AE293</f>
        <v>206</v>
      </c>
      <c r="CO293" s="72">
        <f t="shared" ref="CO293" si="2844">AI293</f>
        <v>226</v>
      </c>
      <c r="CP293" s="72">
        <f t="shared" ref="CP293" si="2845">AM293</f>
        <v>269</v>
      </c>
      <c r="CQ293" s="72">
        <f t="shared" ref="CQ293" si="2846">AQ293</f>
        <v>329</v>
      </c>
      <c r="CR293" s="72">
        <f t="shared" ref="CR293" si="2847">AU293</f>
        <v>367</v>
      </c>
      <c r="CS293" s="72">
        <f t="shared" ref="CS293" si="2848">AY293</f>
        <v>383</v>
      </c>
      <c r="CT293" s="23" t="e">
        <f t="shared" ref="CT293" si="2849">M293-K293</f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ref="A294" si="2850">CONCATENATE(B294,"_",C294)</f>
        <v>ntr1_human_6UP7</v>
      </c>
      <c r="B294" s="3" t="s">
        <v>127</v>
      </c>
      <c r="C294" s="3" t="s">
        <v>1660</v>
      </c>
      <c r="D294" s="3" t="str">
        <f>IFERROR(MID(VLOOKUP($B294,Seqs!$A:$B,2,0),E294,1),"")</f>
        <v>D</v>
      </c>
      <c r="E294" s="3">
        <v>59</v>
      </c>
      <c r="F294" s="3" t="str">
        <f>IFERROR(MID(VLOOKUP($B294,Seqs!$A:$B,2,0),G294,1),"")</f>
        <v>S</v>
      </c>
      <c r="G294" s="3">
        <v>93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V</v>
      </c>
      <c r="M294" s="3">
        <v>101</v>
      </c>
      <c r="N294" s="3" t="str">
        <f>IFERROR(MID(VLOOKUP($B294,Seqs!$A:$B,2,0),O294,1),"")</f>
        <v>V</v>
      </c>
      <c r="O294" s="3">
        <v>130</v>
      </c>
      <c r="P294" s="3" t="str">
        <f>IFERROR(MID(VLOOKUP($B294,Seqs!$A:$B,2,0),Q294,1),"")</f>
        <v>P</v>
      </c>
      <c r="Q294" s="3">
        <v>133</v>
      </c>
      <c r="R294" s="3" t="str">
        <f>IFERROR(MID(VLOOKUP($B294,Seqs!$A:$B,2,0),S294,1),"")</f>
        <v>F</v>
      </c>
      <c r="S294" s="3">
        <v>136</v>
      </c>
      <c r="T294" s="3" t="str">
        <f>IFERROR(MID(VLOOKUP($B294,Seqs!$A:$B,2,0),U294,1),"")</f>
        <v>G</v>
      </c>
      <c r="U294" s="3">
        <v>137</v>
      </c>
      <c r="V294" s="3" t="str">
        <f>IFERROR(MID(VLOOKUP($B294,Seqs!$A:$B,2,0),W294,1),"")</f>
        <v>H</v>
      </c>
      <c r="W294" s="3">
        <v>172</v>
      </c>
      <c r="X294" s="3" t="str">
        <f>IFERROR(MID(VLOOKUP($B294,Seqs!$A:$B,2,0),Y294,1),"")</f>
        <v>P</v>
      </c>
      <c r="Y294" s="3">
        <v>173</v>
      </c>
      <c r="Z294" s="3" t="str">
        <f>IFERROR(MID(VLOOKUP($B294,Seqs!$A:$B,2,0),AA294,1),"")</f>
        <v>M</v>
      </c>
      <c r="AA294" s="3">
        <v>180</v>
      </c>
      <c r="AB294" s="3" t="str">
        <f>IFERROR(MID(VLOOKUP($B294,Seqs!$A:$B,2,0),AC294,1),"")</f>
        <v>S</v>
      </c>
      <c r="AC294" s="3">
        <v>181</v>
      </c>
      <c r="AD294" s="3" t="str">
        <f>IFERROR(MID(VLOOKUP($B294,Seqs!$A:$B,2,0),AE294,1),"")</f>
        <v>M</v>
      </c>
      <c r="AE294" s="3">
        <v>207</v>
      </c>
      <c r="AF294" s="3" t="str">
        <f>IFERROR(MID(VLOOKUP($B294,Seqs!$A:$B,2,0),AG294,1),"")</f>
        <v>C</v>
      </c>
      <c r="AG294" s="3">
        <v>224</v>
      </c>
      <c r="AH294" s="3" t="str">
        <f>IFERROR(MID(VLOOKUP($B294,Seqs!$A:$B,2,0),AI294,1),"")</f>
        <v>P</v>
      </c>
      <c r="AI294" s="3">
        <v>226</v>
      </c>
      <c r="AJ294" s="3" t="str">
        <f>IFERROR(MID(VLOOKUP($B294,Seqs!$A:$B,2,0),AK294,1),"")</f>
        <v>H</v>
      </c>
      <c r="AK294" s="3">
        <v>229</v>
      </c>
      <c r="AL294" s="3" t="str">
        <f>IFERROR(MID(VLOOKUP($B294,Seqs!$A:$B,2,0),AM294,1),"")</f>
        <v>A</v>
      </c>
      <c r="AM294" s="3">
        <v>270</v>
      </c>
      <c r="AN294" s="3" t="str">
        <f>IFERROR(MID(VLOOKUP($B294,Seqs!$A:$B,2,0),AO294,1),"")</f>
        <v>G</v>
      </c>
      <c r="AO294" s="3">
        <v>293</v>
      </c>
      <c r="AP294" s="3" t="str">
        <f>IFERROR(MID(VLOOKUP($B294,Seqs!$A:$B,2,0),AQ294,1),"")</f>
        <v>Y</v>
      </c>
      <c r="AQ294" s="3">
        <v>328</v>
      </c>
      <c r="AR294" s="3" t="str">
        <f>IFERROR(MID(VLOOKUP($B294,Seqs!$A:$B,2,0),AS294,1),"")</f>
        <v>P</v>
      </c>
      <c r="AS294" s="3">
        <v>336</v>
      </c>
      <c r="AT294" s="3" t="str">
        <f>IFERROR(MID(VLOOKUP($B294,Seqs!$A:$B,2,0),AU294,1),"")</f>
        <v>N</v>
      </c>
      <c r="AU294" s="3">
        <v>365</v>
      </c>
      <c r="AV294" s="3" t="str">
        <f>IFERROR(MID(VLOOKUP($B294,Seqs!$A:$B,2,0),AW294,1),"")</f>
        <v>S</v>
      </c>
      <c r="AW294" s="3">
        <v>368</v>
      </c>
      <c r="AX294" s="3" t="str">
        <f>IFERROR(MID(VLOOKUP($B294,Seqs!$A:$B,2,0),AY294,1),"")</f>
        <v>L</v>
      </c>
      <c r="AY294" s="3">
        <v>382</v>
      </c>
      <c r="AZ294" s="77" t="str">
        <f>VLOOKUP(B294,Classification!A:D,2,0)</f>
        <v>A</v>
      </c>
      <c r="BA294" s="94" t="str">
        <f>VLOOKUP(B294,Classification!A:D,4,0)</f>
        <v>Neurotensin</v>
      </c>
      <c r="BB294" s="27" t="b">
        <f t="shared" ref="BB294" si="2851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" si="2852">_xlfn.AGGREGATE(9,6,CH294:CS294)-_xlfn.AGGREGATE(9,6,BV294:CG294)+12</f>
        <v>267</v>
      </c>
      <c r="BD294" s="56" t="s">
        <v>23</v>
      </c>
      <c r="BE294" s="3" t="s">
        <v>1287</v>
      </c>
      <c r="BF294" s="118">
        <v>4.2</v>
      </c>
      <c r="BG294" s="49" t="s">
        <v>1418</v>
      </c>
      <c r="BH294" s="49" t="s">
        <v>1418</v>
      </c>
      <c r="BJ294" s="70" t="s">
        <v>1283</v>
      </c>
      <c r="BK294" s="57" t="s">
        <v>1283</v>
      </c>
      <c r="BL294" s="57" t="s">
        <v>1283</v>
      </c>
      <c r="BM294" s="57" t="s">
        <v>1283</v>
      </c>
      <c r="BN294" s="57" t="s">
        <v>1283</v>
      </c>
      <c r="BO294" s="57" t="s">
        <v>1283</v>
      </c>
      <c r="BP294" s="57" t="s">
        <v>1283</v>
      </c>
      <c r="BQ294" s="57" t="s">
        <v>1283</v>
      </c>
      <c r="BR294" s="57" t="s">
        <v>1283</v>
      </c>
      <c r="BS294" s="57" t="s">
        <v>1283</v>
      </c>
      <c r="BT294" s="57" t="s">
        <v>1283</v>
      </c>
      <c r="BU294" s="57" t="s">
        <v>1283</v>
      </c>
      <c r="BV294" s="70">
        <f t="shared" ref="BV294" si="2853">E294</f>
        <v>59</v>
      </c>
      <c r="BW294" s="71" t="str">
        <f t="shared" ref="BW294" si="2854">I294</f>
        <v>-</v>
      </c>
      <c r="BX294" s="72">
        <f t="shared" ref="BX294" si="2855">M294</f>
        <v>101</v>
      </c>
      <c r="BY294" s="71">
        <f t="shared" ref="BY294" si="2856">Q294</f>
        <v>133</v>
      </c>
      <c r="BZ294" s="72">
        <f t="shared" ref="BZ294" si="2857">U294</f>
        <v>137</v>
      </c>
      <c r="CA294" s="71">
        <f t="shared" ref="CA294" si="2858">Y294</f>
        <v>173</v>
      </c>
      <c r="CB294" s="72">
        <f t="shared" ref="CB294" si="2859">AC294</f>
        <v>181</v>
      </c>
      <c r="CC294" s="71">
        <f t="shared" ref="CC294" si="2860">AG294</f>
        <v>224</v>
      </c>
      <c r="CD294" s="72">
        <f t="shared" ref="CD294" si="2861">AK294</f>
        <v>229</v>
      </c>
      <c r="CE294" s="71">
        <f t="shared" ref="CE294" si="2862">AO294</f>
        <v>293</v>
      </c>
      <c r="CF294" s="72">
        <f t="shared" ref="CF294" si="2863">AS294</f>
        <v>336</v>
      </c>
      <c r="CG294" s="71">
        <f t="shared" ref="CG294" si="2864">AW294</f>
        <v>368</v>
      </c>
      <c r="CH294" s="70">
        <f t="shared" ref="CH294" si="2865">G294</f>
        <v>93</v>
      </c>
      <c r="CI294" s="71" t="str">
        <f t="shared" ref="CI294" si="2866">K294</f>
        <v>-</v>
      </c>
      <c r="CJ294" s="72">
        <f t="shared" ref="CJ294" si="2867">O294</f>
        <v>130</v>
      </c>
      <c r="CK294" s="72">
        <f t="shared" ref="CK294" si="2868">S294</f>
        <v>136</v>
      </c>
      <c r="CL294" s="72">
        <f t="shared" ref="CL294" si="2869">W294</f>
        <v>172</v>
      </c>
      <c r="CM294" s="72">
        <f t="shared" ref="CM294" si="2870">AA294</f>
        <v>180</v>
      </c>
      <c r="CN294" s="72">
        <f t="shared" ref="CN294" si="2871">AE294</f>
        <v>207</v>
      </c>
      <c r="CO294" s="72">
        <f t="shared" ref="CO294" si="2872">AI294</f>
        <v>226</v>
      </c>
      <c r="CP294" s="72">
        <f t="shared" ref="CP294" si="2873">AM294</f>
        <v>270</v>
      </c>
      <c r="CQ294" s="72">
        <f t="shared" ref="CQ294" si="2874">AQ294</f>
        <v>328</v>
      </c>
      <c r="CR294" s="72">
        <f t="shared" ref="CR294" si="2875">AU294</f>
        <v>365</v>
      </c>
      <c r="CS294" s="72">
        <f t="shared" ref="CS294" si="2876">AY294</f>
        <v>382</v>
      </c>
      <c r="CT294" s="23" t="e">
        <f t="shared" ref="CT294" si="2877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2290"/>
        <v>ntr1_rat__wt</v>
      </c>
      <c r="B295" s="3" t="s">
        <v>909</v>
      </c>
      <c r="C295" s="3" t="s">
        <v>100</v>
      </c>
      <c r="D295" s="3" t="str">
        <f>IFERROR(MID(VLOOKUP($B295,Seqs!$A:$B,2,0),E295,1),"")</f>
        <v>I</v>
      </c>
      <c r="E295" s="3">
        <v>61</v>
      </c>
      <c r="F295" s="3" t="str">
        <f>IFERROR(MID(VLOOKUP($B295,Seqs!$A:$B,2,0),G295,1),"")</f>
        <v>K</v>
      </c>
      <c r="G295" s="3">
        <v>92</v>
      </c>
      <c r="H295" s="3" t="str">
        <f>IFERROR(MID(VLOOKUP($B295,Seqs!$A:$B,2,0),I295,1),"")</f>
        <v>K</v>
      </c>
      <c r="I295" s="23">
        <v>93</v>
      </c>
      <c r="J295" s="3" t="str">
        <f>IFERROR(MID(VLOOKUP($B295,Seqs!$A:$B,2,0),K295,1),"")</f>
        <v>Q</v>
      </c>
      <c r="K295" s="23">
        <v>96</v>
      </c>
      <c r="L295" s="3" t="str">
        <f>IFERROR(MID(VLOOKUP($B295,Seqs!$A:$B,2,0),M295,1),"")</f>
        <v>S</v>
      </c>
      <c r="M295" s="3">
        <v>97</v>
      </c>
      <c r="N295" s="3" t="str">
        <f>IFERROR(MID(VLOOKUP($B295,Seqs!$A:$B,2,0),O295,1),"")</f>
        <v>V</v>
      </c>
      <c r="O295" s="3">
        <v>131</v>
      </c>
      <c r="P295" s="3" t="str">
        <f>IFERROR(MID(VLOOKUP($B295,Seqs!$A:$B,2,0),Q295,1),"")</f>
        <v>P</v>
      </c>
      <c r="Q295" s="3">
        <v>134</v>
      </c>
      <c r="R295" s="3" t="str">
        <f>IFERROR(MID(VLOOKUP($B295,Seqs!$A:$B,2,0),S295,1),"")</f>
        <v>F</v>
      </c>
      <c r="S295" s="3">
        <v>137</v>
      </c>
      <c r="T295" s="3" t="str">
        <f>IFERROR(MID(VLOOKUP($B295,Seqs!$A:$B,2,0),U295,1),"")</f>
        <v>G</v>
      </c>
      <c r="U295" s="3">
        <v>138</v>
      </c>
      <c r="V295" s="3" t="str">
        <f>IFERROR(MID(VLOOKUP($B295,Seqs!$A:$B,2,0),W295,1),"")</f>
        <v>H</v>
      </c>
      <c r="W295" s="3">
        <v>173</v>
      </c>
      <c r="X295" s="3" t="str">
        <f>IFERROR(MID(VLOOKUP($B295,Seqs!$A:$B,2,0),Y295,1),"")</f>
        <v>P</v>
      </c>
      <c r="Y295" s="3">
        <v>174</v>
      </c>
      <c r="Z295" s="3" t="str">
        <f>IFERROR(MID(VLOOKUP($B295,Seqs!$A:$B,2,0),AA295,1),"")</f>
        <v>M</v>
      </c>
      <c r="AA295" s="3">
        <v>181</v>
      </c>
      <c r="AB295" s="3" t="str">
        <f>IFERROR(MID(VLOOKUP($B295,Seqs!$A:$B,2,0),AC295,1),"")</f>
        <v>S</v>
      </c>
      <c r="AC295" s="3">
        <v>182</v>
      </c>
      <c r="AD295" s="3" t="str">
        <f>IFERROR(MID(VLOOKUP($B295,Seqs!$A:$B,2,0),AE295,1),"")</f>
        <v>M</v>
      </c>
      <c r="AE295" s="3">
        <v>208</v>
      </c>
      <c r="AF295" s="3" t="str">
        <f>IFERROR(MID(VLOOKUP($B295,Seqs!$A:$B,2,0),AG295,1),"")</f>
        <v>C</v>
      </c>
      <c r="AG295" s="3">
        <v>225</v>
      </c>
      <c r="AH295" s="3" t="str">
        <f>IFERROR(MID(VLOOKUP($B295,Seqs!$A:$B,2,0),AI295,1),"")</f>
        <v>P</v>
      </c>
      <c r="AI295" s="3">
        <v>227</v>
      </c>
      <c r="AJ295" s="3" t="str">
        <f>IFERROR(MID(VLOOKUP($B295,Seqs!$A:$B,2,0),AK295,1),"")</f>
        <v>T</v>
      </c>
      <c r="AK295" s="3">
        <v>231</v>
      </c>
      <c r="AL295" s="3" t="str">
        <f>IFERROR(MID(VLOOKUP($B295,Seqs!$A:$B,2,0),AM295,1),"")</f>
        <v>G</v>
      </c>
      <c r="AM295" s="3">
        <v>275</v>
      </c>
      <c r="AN295" s="3" t="str">
        <f>IFERROR(MID(VLOOKUP($B295,Seqs!$A:$B,2,0),AO295,1),"")</f>
        <v>P</v>
      </c>
      <c r="AO295" s="3">
        <v>297</v>
      </c>
      <c r="AP295" s="3" t="str">
        <f>IFERROR(MID(VLOOKUP($B295,Seqs!$A:$B,2,0),AQ295,1),"")</f>
        <v>I</v>
      </c>
      <c r="AQ295" s="3">
        <v>334</v>
      </c>
      <c r="AR295" s="3" t="str">
        <f>IFERROR(MID(VLOOKUP($B295,Seqs!$A:$B,2,0),AS295,1),"")</f>
        <v>T</v>
      </c>
      <c r="AS295" s="3">
        <v>340</v>
      </c>
      <c r="AT295" s="3" t="str">
        <f>IFERROR(MID(VLOOKUP($B295,Seqs!$A:$B,2,0),AU295,1),"")</f>
        <v>V</v>
      </c>
      <c r="AU295" s="3">
        <v>372</v>
      </c>
      <c r="AV295" s="3" t="str">
        <f>IFERROR(MID(VLOOKUP($B295,Seqs!$A:$B,2,0),AW295,1),"")</f>
        <v>S</v>
      </c>
      <c r="AW295" s="3">
        <v>373</v>
      </c>
      <c r="AX295" s="3" t="str">
        <f>IFERROR(MID(VLOOKUP($B295,Seqs!$A:$B,2,0),AY295,1),"")</f>
        <v>C</v>
      </c>
      <c r="AY295" s="3">
        <v>388</v>
      </c>
      <c r="AZ295" s="77" t="str">
        <f>VLOOKUP(B295,Classification!A:D,2,0)</f>
        <v>A</v>
      </c>
      <c r="BA295" s="94" t="str">
        <f>VLOOKUP(B295,Classification!A:D,4,0)</f>
        <v>Neurotensin</v>
      </c>
      <c r="BB295" s="27" t="b">
        <f t="shared" si="2291"/>
        <v>1</v>
      </c>
      <c r="BC295" s="23">
        <f t="shared" si="2012"/>
        <v>281</v>
      </c>
      <c r="BD295" s="56" t="s">
        <v>23</v>
      </c>
      <c r="BE295" s="3" t="s">
        <v>23</v>
      </c>
      <c r="BF295" s="118" t="s">
        <v>23</v>
      </c>
      <c r="BG295" s="49" t="s">
        <v>1368</v>
      </c>
      <c r="BH295" s="49" t="s">
        <v>1373</v>
      </c>
      <c r="BI295" s="3" t="s">
        <v>1165</v>
      </c>
      <c r="BJ295" s="70" t="s">
        <v>1283</v>
      </c>
      <c r="BK295" s="57" t="s">
        <v>1283</v>
      </c>
      <c r="BL295" s="57" t="s">
        <v>1283</v>
      </c>
      <c r="BM295" s="57" t="s">
        <v>1283</v>
      </c>
      <c r="BN295" s="57" t="s">
        <v>1283</v>
      </c>
      <c r="BO295" s="57" t="s">
        <v>1283</v>
      </c>
      <c r="BP295" s="57" t="s">
        <v>1283</v>
      </c>
      <c r="BQ295" s="57" t="s">
        <v>1283</v>
      </c>
      <c r="BR295" s="57" t="s">
        <v>1283</v>
      </c>
      <c r="BS295" s="57" t="s">
        <v>1283</v>
      </c>
      <c r="BT295" s="57" t="s">
        <v>1283</v>
      </c>
      <c r="BU295" s="57" t="s">
        <v>1283</v>
      </c>
      <c r="BV295" s="70">
        <f t="shared" si="2013"/>
        <v>61</v>
      </c>
      <c r="BW295" s="71">
        <f t="shared" si="2014"/>
        <v>93</v>
      </c>
      <c r="BX295" s="72">
        <f t="shared" si="2015"/>
        <v>97</v>
      </c>
      <c r="BY295" s="71">
        <f t="shared" si="2016"/>
        <v>134</v>
      </c>
      <c r="BZ295" s="72">
        <f t="shared" si="2017"/>
        <v>138</v>
      </c>
      <c r="CA295" s="71">
        <f t="shared" si="2018"/>
        <v>174</v>
      </c>
      <c r="CB295" s="72">
        <f t="shared" si="2019"/>
        <v>182</v>
      </c>
      <c r="CC295" s="71">
        <f t="shared" si="2020"/>
        <v>225</v>
      </c>
      <c r="CD295" s="72">
        <f t="shared" si="2021"/>
        <v>231</v>
      </c>
      <c r="CE295" s="71">
        <f t="shared" si="2022"/>
        <v>297</v>
      </c>
      <c r="CF295" s="72">
        <f t="shared" si="2023"/>
        <v>340</v>
      </c>
      <c r="CG295" s="71">
        <f t="shared" si="2024"/>
        <v>373</v>
      </c>
      <c r="CH295" s="70">
        <f t="shared" si="2025"/>
        <v>92</v>
      </c>
      <c r="CI295" s="71">
        <f t="shared" si="2026"/>
        <v>96</v>
      </c>
      <c r="CJ295" s="72">
        <f t="shared" si="2027"/>
        <v>131</v>
      </c>
      <c r="CK295" s="72">
        <f t="shared" si="2028"/>
        <v>137</v>
      </c>
      <c r="CL295" s="72">
        <f t="shared" si="2029"/>
        <v>173</v>
      </c>
      <c r="CM295" s="72">
        <f t="shared" si="2030"/>
        <v>181</v>
      </c>
      <c r="CN295" s="72">
        <f t="shared" si="2031"/>
        <v>208</v>
      </c>
      <c r="CO295" s="72">
        <f t="shared" si="2032"/>
        <v>227</v>
      </c>
      <c r="CP295" s="72">
        <f t="shared" si="2033"/>
        <v>275</v>
      </c>
      <c r="CQ295" s="72">
        <f t="shared" si="2034"/>
        <v>334</v>
      </c>
      <c r="CR295" s="72">
        <f t="shared" si="2035"/>
        <v>372</v>
      </c>
      <c r="CS295" s="72">
        <f t="shared" si="2036"/>
        <v>388</v>
      </c>
      <c r="CT295" s="23">
        <f t="shared" si="2037"/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2290"/>
        <v>ntr1_rat_4BUO</v>
      </c>
      <c r="B296" s="3" t="s">
        <v>909</v>
      </c>
      <c r="C296" s="3" t="s">
        <v>1328</v>
      </c>
      <c r="D296" s="3" t="str">
        <f>IFERROR(MID(VLOOKUP($B296,Seqs!$A:$B,2,0),E296,1),"")</f>
        <v>I</v>
      </c>
      <c r="E296" s="3">
        <v>61</v>
      </c>
      <c r="F296" s="3" t="str">
        <f>IFERROR(MID(VLOOKUP($B296,Seqs!$A:$B,2,0),G296,1),"")</f>
        <v>R</v>
      </c>
      <c r="G296" s="3">
        <v>91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S</v>
      </c>
      <c r="M296" s="3">
        <v>97</v>
      </c>
      <c r="N296" s="3" t="str">
        <f>IFERROR(MID(VLOOKUP($B296,Seqs!$A:$B,2,0),O296,1),"")</f>
        <v>V</v>
      </c>
      <c r="O296" s="3">
        <v>131</v>
      </c>
      <c r="P296" s="3" t="str">
        <f>IFERROR(MID(VLOOKUP($B296,Seqs!$A:$B,2,0),Q296,1),"")</f>
        <v>P</v>
      </c>
      <c r="Q296" s="3">
        <v>134</v>
      </c>
      <c r="R296" s="3" t="str">
        <f>IFERROR(MID(VLOOKUP($B296,Seqs!$A:$B,2,0),S296,1),"")</f>
        <v>F</v>
      </c>
      <c r="S296" s="3">
        <v>137</v>
      </c>
      <c r="T296" s="3" t="str">
        <f>IFERROR(MID(VLOOKUP($B296,Seqs!$A:$B,2,0),U296,1),"")</f>
        <v>G</v>
      </c>
      <c r="U296" s="3">
        <v>138</v>
      </c>
      <c r="V296" s="3" t="str">
        <f>IFERROR(MID(VLOOKUP($B296,Seqs!$A:$B,2,0),W296,1),"")</f>
        <v>H</v>
      </c>
      <c r="W296" s="3">
        <v>173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S</v>
      </c>
      <c r="AC296" s="3">
        <v>182</v>
      </c>
      <c r="AD296" s="3" t="str">
        <f>IFERROR(MID(VLOOKUP($B296,Seqs!$A:$B,2,0),AE296,1),"")</f>
        <v>M</v>
      </c>
      <c r="AE296" s="3">
        <v>208</v>
      </c>
      <c r="AF296" s="3" t="str">
        <f>IFERROR(MID(VLOOKUP($B296,Seqs!$A:$B,2,0),AG296,1),"")</f>
        <v>C</v>
      </c>
      <c r="AG296" s="3">
        <v>225</v>
      </c>
      <c r="AH296" s="3" t="str">
        <f>IFERROR(MID(VLOOKUP($B296,Seqs!$A:$B,2,0),AI296,1),"")</f>
        <v>P</v>
      </c>
      <c r="AI296" s="3">
        <v>227</v>
      </c>
      <c r="AJ296" s="3" t="str">
        <f>IFERROR(MID(VLOOKUP($B296,Seqs!$A:$B,2,0),AK296,1),"")</f>
        <v>T</v>
      </c>
      <c r="AK296" s="3">
        <v>231</v>
      </c>
      <c r="AL296" s="3" t="str">
        <f>IFERROR(MID(VLOOKUP($B296,Seqs!$A:$B,2,0),AM296,1),"")</f>
        <v>Q</v>
      </c>
      <c r="AM296" s="3">
        <v>270</v>
      </c>
      <c r="AN296" s="3" t="str">
        <f>IFERROR(MID(VLOOKUP($B296,Seqs!$A:$B,2,0),AO296,1),"")</f>
        <v>G</v>
      </c>
      <c r="AO296" s="3">
        <v>298</v>
      </c>
      <c r="AP296" s="3" t="str">
        <f>IFERROR(MID(VLOOKUP($B296,Seqs!$A:$B,2,0),AQ296,1),"")</f>
        <v>I</v>
      </c>
      <c r="AQ296" s="3">
        <v>334</v>
      </c>
      <c r="AR296" s="3" t="str">
        <f>IFERROR(MID(VLOOKUP($B296,Seqs!$A:$B,2,0),AS296,1),"")</f>
        <v>T</v>
      </c>
      <c r="AS296" s="3">
        <v>340</v>
      </c>
      <c r="AT296" s="3" t="str">
        <f>IFERROR(MID(VLOOKUP($B296,Seqs!$A:$B,2,0),AU296,1),"")</f>
        <v>V</v>
      </c>
      <c r="AU296" s="3">
        <v>372</v>
      </c>
      <c r="AV296" s="3" t="str">
        <f>IFERROR(MID(VLOOKUP($B296,Seqs!$A:$B,2,0),AW296,1),"")</f>
        <v>S</v>
      </c>
      <c r="AW296" s="3">
        <v>373</v>
      </c>
      <c r="AX296" s="3" t="str">
        <f>IFERROR(MID(VLOOKUP($B296,Seqs!$A:$B,2,0),AY296,1),"")</f>
        <v>L</v>
      </c>
      <c r="AY296" s="3">
        <v>384</v>
      </c>
      <c r="AZ296" s="77" t="str">
        <f>VLOOKUP(B296,Classification!A:D,2,0)</f>
        <v>A</v>
      </c>
      <c r="BA296" s="94" t="str">
        <f>VLOOKUP(B296,Classification!A:D,4,0)</f>
        <v>Neurotensin</v>
      </c>
      <c r="BB296" s="27" t="b">
        <f t="shared" si="2291"/>
        <v>1</v>
      </c>
      <c r="BC296" s="23">
        <f t="shared" si="2012"/>
        <v>260</v>
      </c>
      <c r="BD296" s="16" t="s">
        <v>1372</v>
      </c>
      <c r="BE296" s="3" t="s">
        <v>1370</v>
      </c>
      <c r="BF296" s="118">
        <v>2.75</v>
      </c>
      <c r="BG296" s="49" t="s">
        <v>1373</v>
      </c>
      <c r="BH296" s="49" t="s">
        <v>1373</v>
      </c>
      <c r="BI296" s="1"/>
      <c r="BJ296" s="70" t="s">
        <v>1283</v>
      </c>
      <c r="BK296" s="57" t="s">
        <v>1283</v>
      </c>
      <c r="BL296" s="57" t="s">
        <v>1283</v>
      </c>
      <c r="BM296" s="57" t="s">
        <v>1283</v>
      </c>
      <c r="BN296" s="57" t="s">
        <v>1283</v>
      </c>
      <c r="BO296" s="57" t="s">
        <v>1283</v>
      </c>
      <c r="BP296" s="57" t="s">
        <v>1283</v>
      </c>
      <c r="BQ296" s="57" t="s">
        <v>1283</v>
      </c>
      <c r="BR296" s="57" t="s">
        <v>1283</v>
      </c>
      <c r="BS296" s="57" t="s">
        <v>1283</v>
      </c>
      <c r="BT296" s="57" t="s">
        <v>1283</v>
      </c>
      <c r="BU296" s="57" t="s">
        <v>1283</v>
      </c>
      <c r="BV296" s="70">
        <f t="shared" si="2013"/>
        <v>61</v>
      </c>
      <c r="BW296" s="71" t="str">
        <f t="shared" si="2014"/>
        <v>-</v>
      </c>
      <c r="BX296" s="72">
        <f t="shared" si="2015"/>
        <v>97</v>
      </c>
      <c r="BY296" s="71">
        <f t="shared" si="2016"/>
        <v>134</v>
      </c>
      <c r="BZ296" s="72">
        <f t="shared" si="2017"/>
        <v>138</v>
      </c>
      <c r="CA296" s="71" t="str">
        <f t="shared" si="2018"/>
        <v>-</v>
      </c>
      <c r="CB296" s="72">
        <f t="shared" si="2019"/>
        <v>182</v>
      </c>
      <c r="CC296" s="71">
        <f t="shared" si="2020"/>
        <v>225</v>
      </c>
      <c r="CD296" s="72">
        <f t="shared" si="2021"/>
        <v>231</v>
      </c>
      <c r="CE296" s="71">
        <f t="shared" si="2022"/>
        <v>298</v>
      </c>
      <c r="CF296" s="72">
        <f t="shared" si="2023"/>
        <v>340</v>
      </c>
      <c r="CG296" s="71">
        <f t="shared" si="2024"/>
        <v>373</v>
      </c>
      <c r="CH296" s="70">
        <f t="shared" si="2025"/>
        <v>91</v>
      </c>
      <c r="CI296" s="71" t="str">
        <f t="shared" si="2026"/>
        <v>-</v>
      </c>
      <c r="CJ296" s="72">
        <f t="shared" si="2027"/>
        <v>131</v>
      </c>
      <c r="CK296" s="72">
        <f t="shared" si="2028"/>
        <v>137</v>
      </c>
      <c r="CL296" s="72">
        <f t="shared" si="2029"/>
        <v>173</v>
      </c>
      <c r="CM296" s="72" t="str">
        <f t="shared" si="2030"/>
        <v>-</v>
      </c>
      <c r="CN296" s="72">
        <f t="shared" si="2031"/>
        <v>208</v>
      </c>
      <c r="CO296" s="72">
        <f t="shared" si="2032"/>
        <v>227</v>
      </c>
      <c r="CP296" s="72">
        <f t="shared" si="2033"/>
        <v>270</v>
      </c>
      <c r="CQ296" s="72">
        <f t="shared" si="2034"/>
        <v>334</v>
      </c>
      <c r="CR296" s="72">
        <f t="shared" si="2035"/>
        <v>372</v>
      </c>
      <c r="CS296" s="72">
        <f t="shared" si="2036"/>
        <v>384</v>
      </c>
      <c r="CT296" s="23" t="e">
        <f t="shared" si="2037"/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2290"/>
        <v>ntr1_rat_4GRV</v>
      </c>
      <c r="B297" s="3" t="s">
        <v>909</v>
      </c>
      <c r="C297" s="3" t="s">
        <v>50</v>
      </c>
      <c r="D297" s="3" t="str">
        <f>IFERROR(MID(VLOOKUP($B297,Seqs!$A:$B,2,0),E297,1),"")</f>
        <v>I</v>
      </c>
      <c r="E297" s="3">
        <v>61</v>
      </c>
      <c r="F297" s="3" t="str">
        <f>IFERROR(MID(VLOOKUP($B297,Seqs!$A:$B,2,0),G297,1),"")</f>
        <v>T</v>
      </c>
      <c r="G297" s="3">
        <v>88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Q</v>
      </c>
      <c r="M297" s="3">
        <v>99</v>
      </c>
      <c r="N297" s="3" t="str">
        <f>IFERROR(MID(VLOOKUP($B297,Seqs!$A:$B,2,0),O297,1),"")</f>
        <v>V</v>
      </c>
      <c r="O297" s="3">
        <v>131</v>
      </c>
      <c r="P297" s="3" t="str">
        <f>IFERROR(MID(VLOOKUP($B297,Seqs!$A:$B,2,0),Q297,1),"")</f>
        <v>P</v>
      </c>
      <c r="Q297" s="3">
        <v>134</v>
      </c>
      <c r="R297" s="3" t="str">
        <f>IFERROR(MID(VLOOKUP($B297,Seqs!$A:$B,2,0),S297,1),"")</f>
        <v>F</v>
      </c>
      <c r="S297" s="3">
        <v>137</v>
      </c>
      <c r="T297" s="3" t="str">
        <f>IFERROR(MID(VLOOKUP($B297,Seqs!$A:$B,2,0),U297,1),"")</f>
        <v>G</v>
      </c>
      <c r="U297" s="3">
        <v>138</v>
      </c>
      <c r="V297" s="3" t="str">
        <f>IFERROR(MID(VLOOKUP($B297,Seqs!$A:$B,2,0),W297,1),"")</f>
        <v>H</v>
      </c>
      <c r="W297" s="3">
        <v>173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T</v>
      </c>
      <c r="AC297" s="3">
        <v>186</v>
      </c>
      <c r="AD297" s="3" t="str">
        <f>IFERROR(MID(VLOOKUP($B297,Seqs!$A:$B,2,0),AE297,1),"")</f>
        <v>M</v>
      </c>
      <c r="AE297" s="3">
        <v>208</v>
      </c>
      <c r="AF297" s="3" t="str">
        <f>IFERROR(MID(VLOOKUP($B297,Seqs!$A:$B,2,0),AG297,1),"")</f>
        <v>C</v>
      </c>
      <c r="AG297" s="3">
        <v>225</v>
      </c>
      <c r="AH297" s="3" t="str">
        <f>IFERROR(MID(VLOOKUP($B297,Seqs!$A:$B,2,0),AI297,1),"")</f>
        <v>P</v>
      </c>
      <c r="AI297" s="3">
        <v>227</v>
      </c>
      <c r="AJ297" s="3" t="str">
        <f>IFERROR(MID(VLOOKUP($B297,Seqs!$A:$B,2,0),AK297,1),"")</f>
        <v>T</v>
      </c>
      <c r="AK297" s="3">
        <v>231</v>
      </c>
      <c r="AL297" s="3" t="str">
        <f>IFERROR(MID(VLOOKUP($B297,Seqs!$A:$B,2,0),AM297,1),"")</f>
        <v>T</v>
      </c>
      <c r="AM297" s="3">
        <v>265</v>
      </c>
      <c r="AN297" s="3" t="str">
        <f>IFERROR(MID(VLOOKUP($B297,Seqs!$A:$B,2,0),AO297,1),"")</f>
        <v>A</v>
      </c>
      <c r="AO297" s="3">
        <v>302</v>
      </c>
      <c r="AP297" s="3" t="str">
        <f>IFERROR(MID(VLOOKUP($B297,Seqs!$A:$B,2,0),AQ297,1),"")</f>
        <v>I</v>
      </c>
      <c r="AQ297" s="3">
        <v>334</v>
      </c>
      <c r="AR297" s="3" t="str">
        <f>IFERROR(MID(VLOOKUP($B297,Seqs!$A:$B,2,0),AS297,1),"")</f>
        <v>T</v>
      </c>
      <c r="AS297" s="3">
        <v>340</v>
      </c>
      <c r="AT297" s="3" t="str">
        <f>IFERROR(MID(VLOOKUP($B297,Seqs!$A:$B,2,0),AU297,1),"")</f>
        <v>S</v>
      </c>
      <c r="AU297" s="3">
        <v>361</v>
      </c>
      <c r="AV297" s="3" t="str">
        <f>IFERROR(MID(VLOOKUP($B297,Seqs!$A:$B,2,0),AW297,1),"")</f>
        <v/>
      </c>
      <c r="AW297" s="3" t="s">
        <v>23</v>
      </c>
      <c r="AX297" s="3" t="str">
        <f>IFERROR(MID(VLOOKUP($B297,Seqs!$A:$B,2,0),AY297,1),"")</f>
        <v/>
      </c>
      <c r="AY297" s="3" t="s">
        <v>23</v>
      </c>
      <c r="AZ297" s="77" t="str">
        <f>VLOOKUP(B297,Classification!A:D,2,0)</f>
        <v>A</v>
      </c>
      <c r="BA297" s="94" t="str">
        <f>VLOOKUP(B297,Classification!A:D,4,0)</f>
        <v>Neurotensin</v>
      </c>
      <c r="BB297" s="27" t="b">
        <f t="shared" si="2291"/>
        <v>1</v>
      </c>
      <c r="BC297" s="23">
        <f t="shared" si="2012"/>
        <v>220</v>
      </c>
      <c r="BD297" s="5" t="s">
        <v>23</v>
      </c>
      <c r="BE297" s="3" t="s">
        <v>1424</v>
      </c>
      <c r="BF297" s="118">
        <v>2.8</v>
      </c>
      <c r="BG297" s="49" t="s">
        <v>1373</v>
      </c>
      <c r="BH297" s="49" t="s">
        <v>1373</v>
      </c>
      <c r="BI297" s="1"/>
      <c r="BJ297" s="70" t="s">
        <v>1283</v>
      </c>
      <c r="BK297" s="57" t="s">
        <v>1283</v>
      </c>
      <c r="BL297" s="57" t="s">
        <v>1283</v>
      </c>
      <c r="BM297" s="57" t="s">
        <v>1283</v>
      </c>
      <c r="BN297" s="57" t="s">
        <v>1283</v>
      </c>
      <c r="BO297" s="57" t="s">
        <v>1283</v>
      </c>
      <c r="BP297" s="57" t="s">
        <v>1283</v>
      </c>
      <c r="BQ297" s="57" t="s">
        <v>1283</v>
      </c>
      <c r="BR297" s="57" t="s">
        <v>1283</v>
      </c>
      <c r="BS297" s="57" t="s">
        <v>1283</v>
      </c>
      <c r="BT297" s="57" t="s">
        <v>1283</v>
      </c>
      <c r="BU297" s="57" t="s">
        <v>1283</v>
      </c>
      <c r="BV297" s="70">
        <f t="shared" si="2013"/>
        <v>61</v>
      </c>
      <c r="BW297" s="71" t="str">
        <f t="shared" si="2014"/>
        <v>-</v>
      </c>
      <c r="BX297" s="72">
        <f t="shared" si="2015"/>
        <v>99</v>
      </c>
      <c r="BY297" s="71">
        <f t="shared" si="2016"/>
        <v>134</v>
      </c>
      <c r="BZ297" s="72">
        <f t="shared" si="2017"/>
        <v>138</v>
      </c>
      <c r="CA297" s="71" t="str">
        <f t="shared" si="2018"/>
        <v>-</v>
      </c>
      <c r="CB297" s="72">
        <f t="shared" si="2019"/>
        <v>186</v>
      </c>
      <c r="CC297" s="71">
        <f t="shared" si="2020"/>
        <v>225</v>
      </c>
      <c r="CD297" s="72">
        <f t="shared" si="2021"/>
        <v>231</v>
      </c>
      <c r="CE297" s="71">
        <f t="shared" si="2022"/>
        <v>302</v>
      </c>
      <c r="CF297" s="72">
        <f t="shared" si="2023"/>
        <v>340</v>
      </c>
      <c r="CG297" s="71" t="str">
        <f t="shared" si="2024"/>
        <v>-</v>
      </c>
      <c r="CH297" s="70">
        <f t="shared" si="2025"/>
        <v>88</v>
      </c>
      <c r="CI297" s="71" t="str">
        <f t="shared" si="2026"/>
        <v>-</v>
      </c>
      <c r="CJ297" s="72">
        <f t="shared" si="2027"/>
        <v>131</v>
      </c>
      <c r="CK297" s="72">
        <f t="shared" si="2028"/>
        <v>137</v>
      </c>
      <c r="CL297" s="72">
        <f t="shared" si="2029"/>
        <v>173</v>
      </c>
      <c r="CM297" s="72" t="str">
        <f t="shared" si="2030"/>
        <v>-</v>
      </c>
      <c r="CN297" s="72">
        <f t="shared" si="2031"/>
        <v>208</v>
      </c>
      <c r="CO297" s="72">
        <f t="shared" si="2032"/>
        <v>227</v>
      </c>
      <c r="CP297" s="72">
        <f t="shared" si="2033"/>
        <v>265</v>
      </c>
      <c r="CQ297" s="72">
        <f t="shared" si="2034"/>
        <v>334</v>
      </c>
      <c r="CR297" s="72">
        <f t="shared" si="2035"/>
        <v>361</v>
      </c>
      <c r="CS297" s="72" t="str">
        <f t="shared" si="2036"/>
        <v>-</v>
      </c>
      <c r="CT297" s="23" t="e">
        <f t="shared" si="2037"/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2290"/>
        <v>ntr1_rat_4XEE</v>
      </c>
      <c r="B298" s="3" t="s">
        <v>909</v>
      </c>
      <c r="C298" s="3" t="s">
        <v>1346</v>
      </c>
      <c r="D298" s="3" t="str">
        <f>IFERROR(MID(VLOOKUP($B298,Seqs!$A:$B,2,0),E298,1),"")</f>
        <v>I</v>
      </c>
      <c r="E298" s="3">
        <v>61</v>
      </c>
      <c r="F298" s="3" t="str">
        <f>IFERROR(MID(VLOOKUP($B298,Seqs!$A:$B,2,0),G298,1),"")</f>
        <v>R</v>
      </c>
      <c r="G298" s="3">
        <v>91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S</v>
      </c>
      <c r="M298" s="3">
        <v>100</v>
      </c>
      <c r="N298" s="3" t="str">
        <f>IFERROR(MID(VLOOKUP($B298,Seqs!$A:$B,2,0),O298,1),"")</f>
        <v>V</v>
      </c>
      <c r="O298" s="3">
        <v>131</v>
      </c>
      <c r="P298" s="3" t="str">
        <f>IFERROR(MID(VLOOKUP($B298,Seqs!$A:$B,2,0),Q298,1),"")</f>
        <v>P</v>
      </c>
      <c r="Q298" s="3">
        <v>134</v>
      </c>
      <c r="R298" s="3" t="str">
        <f>IFERROR(MID(VLOOKUP($B298,Seqs!$A:$B,2,0),S298,1),"")</f>
        <v>F</v>
      </c>
      <c r="S298" s="3">
        <v>137</v>
      </c>
      <c r="T298" s="3" t="str">
        <f>IFERROR(MID(VLOOKUP($B298,Seqs!$A:$B,2,0),U298,1),"")</f>
        <v>G</v>
      </c>
      <c r="U298" s="3">
        <v>138</v>
      </c>
      <c r="V298" s="3" t="str">
        <f>IFERROR(MID(VLOOKUP($B298,Seqs!$A:$B,2,0),W298,1),"")</f>
        <v>H</v>
      </c>
      <c r="W298" s="3">
        <v>173</v>
      </c>
      <c r="X298" s="3" t="str">
        <f>IFERROR(MID(VLOOKUP($B298,Seqs!$A:$B,2,0),Y298,1),"")</f>
        <v>P</v>
      </c>
      <c r="Y298" s="3">
        <v>174</v>
      </c>
      <c r="Z298" s="3" t="str">
        <f>IFERROR(MID(VLOOKUP($B298,Seqs!$A:$B,2,0),AA298,1),"")</f>
        <v>M</v>
      </c>
      <c r="AA298" s="3">
        <v>181</v>
      </c>
      <c r="AB298" s="3" t="str">
        <f>IFERROR(MID(VLOOKUP($B298,Seqs!$A:$B,2,0),AC298,1),"")</f>
        <v>S</v>
      </c>
      <c r="AC298" s="3">
        <v>182</v>
      </c>
      <c r="AD298" s="3" t="str">
        <f>IFERROR(MID(VLOOKUP($B298,Seqs!$A:$B,2,0),AE298,1),"")</f>
        <v>M</v>
      </c>
      <c r="AE298" s="3">
        <v>208</v>
      </c>
      <c r="AF298" s="3" t="str">
        <f>IFERROR(MID(VLOOKUP($B298,Seqs!$A:$B,2,0),AG298,1),"")</f>
        <v>C</v>
      </c>
      <c r="AG298" s="3">
        <v>225</v>
      </c>
      <c r="AH298" s="3" t="str">
        <f>IFERROR(MID(VLOOKUP($B298,Seqs!$A:$B,2,0),AI298,1),"")</f>
        <v>P</v>
      </c>
      <c r="AI298" s="3">
        <v>227</v>
      </c>
      <c r="AJ298" s="3" t="str">
        <f>IFERROR(MID(VLOOKUP($B298,Seqs!$A:$B,2,0),AK298,1),"")</f>
        <v>T</v>
      </c>
      <c r="AK298" s="3">
        <v>231</v>
      </c>
      <c r="AL298" s="3" t="str">
        <f>IFERROR(MID(VLOOKUP($B298,Seqs!$A:$B,2,0),AM298,1),"")</f>
        <v>V</v>
      </c>
      <c r="AM298" s="3">
        <v>268</v>
      </c>
      <c r="AN298" s="3" t="str">
        <f>IFERROR(MID(VLOOKUP($B298,Seqs!$A:$B,2,0),AO298,1),"")</f>
        <v>Q</v>
      </c>
      <c r="AO298" s="3">
        <v>301</v>
      </c>
      <c r="AP298" s="3" t="str">
        <f>IFERROR(MID(VLOOKUP($B298,Seqs!$A:$B,2,0),AQ298,1),"")</f>
        <v>I</v>
      </c>
      <c r="AQ298" s="3">
        <v>334</v>
      </c>
      <c r="AR298" s="3" t="str">
        <f>IFERROR(MID(VLOOKUP($B298,Seqs!$A:$B,2,0),AS298,1),"")</f>
        <v>T</v>
      </c>
      <c r="AS298" s="3">
        <v>340</v>
      </c>
      <c r="AT298" s="3" t="str">
        <f>IFERROR(MID(VLOOKUP($B298,Seqs!$A:$B,2,0),AU298,1),"")</f>
        <v>V</v>
      </c>
      <c r="AU298" s="3">
        <v>372</v>
      </c>
      <c r="AV298" s="3" t="str">
        <f>IFERROR(MID(VLOOKUP($B298,Seqs!$A:$B,2,0),AW298,1),"")</f>
        <v>S</v>
      </c>
      <c r="AW298" s="3">
        <v>373</v>
      </c>
      <c r="AX298" s="3" t="str">
        <f>IFERROR(MID(VLOOKUP($B298,Seqs!$A:$B,2,0),AY298,1),"")</f>
        <v>S</v>
      </c>
      <c r="AY298" s="3">
        <v>382</v>
      </c>
      <c r="AZ298" s="77" t="str">
        <f>VLOOKUP(B298,Classification!A:D,2,0)</f>
        <v>A</v>
      </c>
      <c r="BA298" s="94" t="str">
        <f>VLOOKUP(B298,Classification!A:D,4,0)</f>
        <v>Neurotensin</v>
      </c>
      <c r="BB298" s="27" t="b">
        <f t="shared" si="2291"/>
        <v>1</v>
      </c>
      <c r="BC298" s="23">
        <f t="shared" si="2012"/>
        <v>257</v>
      </c>
      <c r="BD298" s="4" t="s">
        <v>23</v>
      </c>
      <c r="BE298" s="3" t="s">
        <v>1424</v>
      </c>
      <c r="BF298" s="118">
        <v>2.9</v>
      </c>
      <c r="BG298" s="49" t="s">
        <v>1373</v>
      </c>
      <c r="BH298" s="49" t="s">
        <v>1373</v>
      </c>
      <c r="BI298" s="1"/>
      <c r="BJ298" s="70" t="s">
        <v>1283</v>
      </c>
      <c r="BK298" s="57" t="s">
        <v>1283</v>
      </c>
      <c r="BL298" s="57" t="s">
        <v>1283</v>
      </c>
      <c r="BM298" s="57" t="s">
        <v>1283</v>
      </c>
      <c r="BN298" s="57" t="s">
        <v>1283</v>
      </c>
      <c r="BO298" s="57" t="s">
        <v>1283</v>
      </c>
      <c r="BP298" s="57" t="s">
        <v>1283</v>
      </c>
      <c r="BQ298" s="57" t="s">
        <v>1283</v>
      </c>
      <c r="BR298" s="57" t="s">
        <v>1283</v>
      </c>
      <c r="BS298" s="57" t="s">
        <v>1283</v>
      </c>
      <c r="BT298" s="57" t="s">
        <v>1283</v>
      </c>
      <c r="BU298" s="57" t="s">
        <v>1283</v>
      </c>
      <c r="BV298" s="70">
        <f t="shared" si="2013"/>
        <v>61</v>
      </c>
      <c r="BW298" s="71" t="str">
        <f t="shared" si="2014"/>
        <v>-</v>
      </c>
      <c r="BX298" s="72">
        <f t="shared" si="2015"/>
        <v>100</v>
      </c>
      <c r="BY298" s="71">
        <f t="shared" si="2016"/>
        <v>134</v>
      </c>
      <c r="BZ298" s="72">
        <f t="shared" si="2017"/>
        <v>138</v>
      </c>
      <c r="CA298" s="71">
        <f t="shared" si="2018"/>
        <v>174</v>
      </c>
      <c r="CB298" s="72">
        <f t="shared" si="2019"/>
        <v>182</v>
      </c>
      <c r="CC298" s="71">
        <f t="shared" si="2020"/>
        <v>225</v>
      </c>
      <c r="CD298" s="72">
        <f t="shared" si="2021"/>
        <v>231</v>
      </c>
      <c r="CE298" s="71">
        <f t="shared" si="2022"/>
        <v>301</v>
      </c>
      <c r="CF298" s="72">
        <f t="shared" si="2023"/>
        <v>340</v>
      </c>
      <c r="CG298" s="71">
        <f t="shared" si="2024"/>
        <v>373</v>
      </c>
      <c r="CH298" s="70">
        <f t="shared" si="2025"/>
        <v>91</v>
      </c>
      <c r="CI298" s="71" t="str">
        <f t="shared" si="2026"/>
        <v>-</v>
      </c>
      <c r="CJ298" s="72">
        <f t="shared" si="2027"/>
        <v>131</v>
      </c>
      <c r="CK298" s="72">
        <f t="shared" si="2028"/>
        <v>137</v>
      </c>
      <c r="CL298" s="72">
        <f t="shared" si="2029"/>
        <v>173</v>
      </c>
      <c r="CM298" s="72">
        <f t="shared" si="2030"/>
        <v>181</v>
      </c>
      <c r="CN298" s="72">
        <f t="shared" si="2031"/>
        <v>208</v>
      </c>
      <c r="CO298" s="72">
        <f t="shared" si="2032"/>
        <v>227</v>
      </c>
      <c r="CP298" s="72">
        <f t="shared" si="2033"/>
        <v>268</v>
      </c>
      <c r="CQ298" s="72">
        <f t="shared" si="2034"/>
        <v>334</v>
      </c>
      <c r="CR298" s="72">
        <f t="shared" si="2035"/>
        <v>372</v>
      </c>
      <c r="CS298" s="72">
        <f t="shared" si="2036"/>
        <v>382</v>
      </c>
      <c r="CT298" s="23" t="e">
        <f t="shared" si="2037"/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2290"/>
        <v>ntr1_rat_4XES</v>
      </c>
      <c r="B299" s="3" t="s">
        <v>909</v>
      </c>
      <c r="C299" s="3" t="s">
        <v>1347</v>
      </c>
      <c r="D299" s="3" t="str">
        <f>IFERROR(MID(VLOOKUP($B299,Seqs!$A:$B,2,0),E299,1),"")</f>
        <v>I</v>
      </c>
      <c r="E299" s="3">
        <v>61</v>
      </c>
      <c r="F299" s="3" t="str">
        <f>IFERROR(MID(VLOOKUP($B299,Seqs!$A:$B,2,0),G299,1),"")</f>
        <v>K</v>
      </c>
      <c r="G299" s="3">
        <v>92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S</v>
      </c>
      <c r="M299" s="3">
        <v>97</v>
      </c>
      <c r="N299" s="3" t="str">
        <f>IFERROR(MID(VLOOKUP($B299,Seqs!$A:$B,2,0),O299,1),"")</f>
        <v>V</v>
      </c>
      <c r="O299" s="3">
        <v>131</v>
      </c>
      <c r="P299" s="3" t="str">
        <f>IFERROR(MID(VLOOKUP($B299,Seqs!$A:$B,2,0),Q299,1),"")</f>
        <v>P</v>
      </c>
      <c r="Q299" s="3">
        <v>134</v>
      </c>
      <c r="R299" s="3" t="str">
        <f>IFERROR(MID(VLOOKUP($B299,Seqs!$A:$B,2,0),S299,1),"")</f>
        <v>F</v>
      </c>
      <c r="S299" s="3">
        <v>137</v>
      </c>
      <c r="T299" s="3" t="str">
        <f>IFERROR(MID(VLOOKUP($B299,Seqs!$A:$B,2,0),U299,1),"")</f>
        <v>G</v>
      </c>
      <c r="U299" s="3">
        <v>138</v>
      </c>
      <c r="V299" s="3" t="str">
        <f>IFERROR(MID(VLOOKUP($B299,Seqs!$A:$B,2,0),W299,1),"")</f>
        <v>H</v>
      </c>
      <c r="W299" s="3">
        <v>173</v>
      </c>
      <c r="X299" s="3" t="str">
        <f>IFERROR(MID(VLOOKUP($B299,Seqs!$A:$B,2,0),Y299,1),"")</f>
        <v>P</v>
      </c>
      <c r="Y299" s="3">
        <v>174</v>
      </c>
      <c r="Z299" s="3" t="str">
        <f>IFERROR(MID(VLOOKUP($B299,Seqs!$A:$B,2,0),AA299,1),"")</f>
        <v>M</v>
      </c>
      <c r="AA299" s="3">
        <v>181</v>
      </c>
      <c r="AB299" s="3" t="str">
        <f>IFERROR(MID(VLOOKUP($B299,Seqs!$A:$B,2,0),AC299,1),"")</f>
        <v>S</v>
      </c>
      <c r="AC299" s="3">
        <v>182</v>
      </c>
      <c r="AD299" s="3" t="str">
        <f>IFERROR(MID(VLOOKUP($B299,Seqs!$A:$B,2,0),AE299,1),"")</f>
        <v>M</v>
      </c>
      <c r="AE299" s="3">
        <v>208</v>
      </c>
      <c r="AF299" s="3" t="str">
        <f>IFERROR(MID(VLOOKUP($B299,Seqs!$A:$B,2,0),AG299,1),"")</f>
        <v>C</v>
      </c>
      <c r="AG299" s="3">
        <v>225</v>
      </c>
      <c r="AH299" s="3" t="str">
        <f>IFERROR(MID(VLOOKUP($B299,Seqs!$A:$B,2,0),AI299,1),"")</f>
        <v>P</v>
      </c>
      <c r="AI299" s="3">
        <v>227</v>
      </c>
      <c r="AJ299" s="3" t="str">
        <f>IFERROR(MID(VLOOKUP($B299,Seqs!$A:$B,2,0),AK299,1),"")</f>
        <v>T</v>
      </c>
      <c r="AK299" s="3">
        <v>231</v>
      </c>
      <c r="AL299" s="3" t="str">
        <f>IFERROR(MID(VLOOKUP($B299,Seqs!$A:$B,2,0),AM299,1),"")</f>
        <v>V</v>
      </c>
      <c r="AM299" s="3">
        <v>268</v>
      </c>
      <c r="AN299" s="3" t="str">
        <f>IFERROR(MID(VLOOKUP($B299,Seqs!$A:$B,2,0),AO299,1),"")</f>
        <v>A</v>
      </c>
      <c r="AO299" s="3">
        <v>302</v>
      </c>
      <c r="AP299" s="3" t="str">
        <f>IFERROR(MID(VLOOKUP($B299,Seqs!$A:$B,2,0),AQ299,1),"")</f>
        <v>I</v>
      </c>
      <c r="AQ299" s="3">
        <v>334</v>
      </c>
      <c r="AR299" s="3" t="str">
        <f>IFERROR(MID(VLOOKUP($B299,Seqs!$A:$B,2,0),AS299,1),"")</f>
        <v>T</v>
      </c>
      <c r="AS299" s="3">
        <v>340</v>
      </c>
      <c r="AT299" s="3" t="str">
        <f>IFERROR(MID(VLOOKUP($B299,Seqs!$A:$B,2,0),AU299,1),"")</f>
        <v>V</v>
      </c>
      <c r="AU299" s="3">
        <v>372</v>
      </c>
      <c r="AV299" s="3" t="str">
        <f>IFERROR(MID(VLOOKUP($B299,Seqs!$A:$B,2,0),AW299,1),"")</f>
        <v>S</v>
      </c>
      <c r="AW299" s="3">
        <v>373</v>
      </c>
      <c r="AX299" s="3" t="str">
        <f>IFERROR(MID(VLOOKUP($B299,Seqs!$A:$B,2,0),AY299,1),"")</f>
        <v>S</v>
      </c>
      <c r="AY299" s="3">
        <v>382</v>
      </c>
      <c r="AZ299" s="77" t="str">
        <f>VLOOKUP(B299,Classification!A:D,2,0)</f>
        <v>A</v>
      </c>
      <c r="BA299" s="94" t="str">
        <f>VLOOKUP(B299,Classification!A:D,4,0)</f>
        <v>Neurotensin</v>
      </c>
      <c r="BB299" s="27" t="b">
        <f t="shared" si="2291"/>
        <v>1</v>
      </c>
      <c r="BC299" s="23">
        <f t="shared" si="2012"/>
        <v>260</v>
      </c>
      <c r="BD299" s="5" t="s">
        <v>23</v>
      </c>
      <c r="BE299" s="3" t="s">
        <v>1424</v>
      </c>
      <c r="BF299" s="118">
        <v>2.6</v>
      </c>
      <c r="BG299" s="49" t="s">
        <v>1373</v>
      </c>
      <c r="BH299" s="49" t="s">
        <v>1373</v>
      </c>
      <c r="BI299" s="1"/>
      <c r="BJ299" s="70" t="s">
        <v>1283</v>
      </c>
      <c r="BK299" s="57" t="s">
        <v>1283</v>
      </c>
      <c r="BL299" s="57" t="s">
        <v>1283</v>
      </c>
      <c r="BM299" s="57" t="s">
        <v>1283</v>
      </c>
      <c r="BN299" s="57" t="s">
        <v>1283</v>
      </c>
      <c r="BO299" s="57" t="s">
        <v>1283</v>
      </c>
      <c r="BP299" s="57" t="s">
        <v>1283</v>
      </c>
      <c r="BQ299" s="57" t="s">
        <v>1283</v>
      </c>
      <c r="BR299" s="57" t="s">
        <v>1283</v>
      </c>
      <c r="BS299" s="57" t="s">
        <v>1283</v>
      </c>
      <c r="BT299" s="57" t="s">
        <v>1283</v>
      </c>
      <c r="BU299" s="57" t="s">
        <v>1283</v>
      </c>
      <c r="BV299" s="70">
        <f t="shared" si="2013"/>
        <v>61</v>
      </c>
      <c r="BW299" s="71" t="str">
        <f t="shared" si="2014"/>
        <v>-</v>
      </c>
      <c r="BX299" s="72">
        <f t="shared" si="2015"/>
        <v>97</v>
      </c>
      <c r="BY299" s="71">
        <f t="shared" si="2016"/>
        <v>134</v>
      </c>
      <c r="BZ299" s="72">
        <f t="shared" si="2017"/>
        <v>138</v>
      </c>
      <c r="CA299" s="71">
        <f t="shared" si="2018"/>
        <v>174</v>
      </c>
      <c r="CB299" s="72">
        <f t="shared" si="2019"/>
        <v>182</v>
      </c>
      <c r="CC299" s="71">
        <f t="shared" si="2020"/>
        <v>225</v>
      </c>
      <c r="CD299" s="72">
        <f t="shared" si="2021"/>
        <v>231</v>
      </c>
      <c r="CE299" s="71">
        <f t="shared" si="2022"/>
        <v>302</v>
      </c>
      <c r="CF299" s="72">
        <f t="shared" si="2023"/>
        <v>340</v>
      </c>
      <c r="CG299" s="71">
        <f t="shared" si="2024"/>
        <v>373</v>
      </c>
      <c r="CH299" s="70">
        <f t="shared" si="2025"/>
        <v>92</v>
      </c>
      <c r="CI299" s="71" t="str">
        <f t="shared" si="2026"/>
        <v>-</v>
      </c>
      <c r="CJ299" s="72">
        <f t="shared" si="2027"/>
        <v>131</v>
      </c>
      <c r="CK299" s="72">
        <f t="shared" si="2028"/>
        <v>137</v>
      </c>
      <c r="CL299" s="72">
        <f t="shared" si="2029"/>
        <v>173</v>
      </c>
      <c r="CM299" s="72">
        <f t="shared" si="2030"/>
        <v>181</v>
      </c>
      <c r="CN299" s="72">
        <f t="shared" si="2031"/>
        <v>208</v>
      </c>
      <c r="CO299" s="72">
        <f t="shared" si="2032"/>
        <v>227</v>
      </c>
      <c r="CP299" s="72">
        <f t="shared" si="2033"/>
        <v>268</v>
      </c>
      <c r="CQ299" s="72">
        <f t="shared" si="2034"/>
        <v>334</v>
      </c>
      <c r="CR299" s="72">
        <f t="shared" si="2035"/>
        <v>372</v>
      </c>
      <c r="CS299" s="72">
        <f t="shared" si="2036"/>
        <v>382</v>
      </c>
      <c r="CT299" s="23" t="e">
        <f t="shared" si="2037"/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30" x14ac:dyDescent="0.2">
      <c r="A300" s="3" t="str">
        <f>CONCATENATE(B300,"_",C300)</f>
        <v>ntr1_rat_5T04</v>
      </c>
      <c r="B300" s="3" t="s">
        <v>909</v>
      </c>
      <c r="C300" s="3" t="s">
        <v>1381</v>
      </c>
      <c r="D300" s="3" t="str">
        <f>IFERROR(MID(VLOOKUP($B300,Seqs!$A:$B,2,0),E300,1),"")</f>
        <v>I</v>
      </c>
      <c r="E300" s="3">
        <v>61</v>
      </c>
      <c r="F300" s="3" t="str">
        <f>IFERROR(MID(VLOOKUP($B300,Seqs!$A:$B,2,0),G300,1),"")</f>
        <v>T</v>
      </c>
      <c r="G300" s="3">
        <v>88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H</v>
      </c>
      <c r="M300" s="3">
        <v>103</v>
      </c>
      <c r="N300" s="3" t="str">
        <f>IFERROR(MID(VLOOKUP($B300,Seqs!$A:$B,2,0),O300,1),"")</f>
        <v>V</v>
      </c>
      <c r="O300" s="3">
        <v>131</v>
      </c>
      <c r="P300" s="3" t="str">
        <f>IFERROR(MID(VLOOKUP($B300,Seqs!$A:$B,2,0),Q300,1),"")</f>
        <v>P</v>
      </c>
      <c r="Q300" s="3">
        <v>134</v>
      </c>
      <c r="R300" s="3" t="str">
        <f>IFERROR(MID(VLOOKUP($B300,Seqs!$A:$B,2,0),S300,1),"")</f>
        <v>F</v>
      </c>
      <c r="S300" s="3">
        <v>137</v>
      </c>
      <c r="T300" s="3" t="str">
        <f>IFERROR(MID(VLOOKUP($B300,Seqs!$A:$B,2,0),U300,1),"")</f>
        <v>G</v>
      </c>
      <c r="U300" s="3">
        <v>138</v>
      </c>
      <c r="V300" s="3" t="str">
        <f>IFERROR(MID(VLOOKUP($B300,Seqs!$A:$B,2,0),W300,1),"")</f>
        <v>H</v>
      </c>
      <c r="W300" s="3">
        <v>173</v>
      </c>
      <c r="X300" s="3" t="str">
        <f>IFERROR(MID(VLOOKUP($B300,Seqs!$A:$B,2,0),Y300,1),"")</f>
        <v>P</v>
      </c>
      <c r="Y300" s="3">
        <v>174</v>
      </c>
      <c r="Z300" s="3" t="str">
        <f>IFERROR(MID(VLOOKUP($B300,Seqs!$A:$B,2,0),AA300,1),"")</f>
        <v>M</v>
      </c>
      <c r="AA300" s="3">
        <v>181</v>
      </c>
      <c r="AB300" s="3" t="str">
        <f>IFERROR(MID(VLOOKUP($B300,Seqs!$A:$B,2,0),AC300,1),"")</f>
        <v>S</v>
      </c>
      <c r="AC300" s="3">
        <v>182</v>
      </c>
      <c r="AD300" s="3" t="str">
        <f>IFERROR(MID(VLOOKUP($B300,Seqs!$A:$B,2,0),AE300,1),"")</f>
        <v>M</v>
      </c>
      <c r="AE300" s="3">
        <v>208</v>
      </c>
      <c r="AF300" s="3" t="str">
        <f>IFERROR(MID(VLOOKUP($B300,Seqs!$A:$B,2,0),AG300,1),"")</f>
        <v>C</v>
      </c>
      <c r="AG300" s="3">
        <v>225</v>
      </c>
      <c r="AH300" s="3" t="str">
        <f>IFERROR(MID(VLOOKUP($B300,Seqs!$A:$B,2,0),AI300,1),"")</f>
        <v>P</v>
      </c>
      <c r="AI300" s="3">
        <v>227</v>
      </c>
      <c r="AJ300" s="3" t="str">
        <f>IFERROR(MID(VLOOKUP($B300,Seqs!$A:$B,2,0),AK300,1),"")</f>
        <v>T</v>
      </c>
      <c r="AK300" s="3">
        <v>231</v>
      </c>
      <c r="AL300" s="3" t="str">
        <f>IFERROR(MID(VLOOKUP($B300,Seqs!$A:$B,2,0),AM300,1),"")</f>
        <v>V</v>
      </c>
      <c r="AM300" s="3">
        <v>268</v>
      </c>
      <c r="AN300" s="3" t="str">
        <f>IFERROR(MID(VLOOKUP($B300,Seqs!$A:$B,2,0),AO300,1),"")</f>
        <v>P</v>
      </c>
      <c r="AO300" s="3">
        <v>297</v>
      </c>
      <c r="AP300" s="3" t="str">
        <f>IFERROR(MID(VLOOKUP($B300,Seqs!$A:$B,2,0),AQ300,1),"")</f>
        <v>I</v>
      </c>
      <c r="AQ300" s="3">
        <v>334</v>
      </c>
      <c r="AR300" s="3" t="str">
        <f>IFERROR(MID(VLOOKUP($B300,Seqs!$A:$B,2,0),AS300,1),"")</f>
        <v>T</v>
      </c>
      <c r="AS300" s="3">
        <v>340</v>
      </c>
      <c r="AT300" s="3" t="str">
        <f>IFERROR(MID(VLOOKUP($B300,Seqs!$A:$B,2,0),AU300,1),"")</f>
        <v>I</v>
      </c>
      <c r="AU300" s="3">
        <v>364</v>
      </c>
      <c r="AV300" s="3" t="str">
        <f>IFERROR(MID(VLOOKUP($B300,Seqs!$A:$B,2,0),AW300,1),"")</f>
        <v/>
      </c>
      <c r="AW300" s="3" t="s">
        <v>23</v>
      </c>
      <c r="AX300" s="3" t="str">
        <f>IFERROR(MID(VLOOKUP($B300,Seqs!$A:$B,2,0),AY300,1),"")</f>
        <v/>
      </c>
      <c r="AY300" s="3" t="s">
        <v>23</v>
      </c>
      <c r="AZ300" s="77" t="str">
        <f>VLOOKUP(B300,Classification!A:D,2,0)</f>
        <v>A</v>
      </c>
      <c r="BA300" s="94" t="str">
        <f>VLOOKUP(B300,Classification!A:D,4,0)</f>
        <v>Neurotensin</v>
      </c>
      <c r="BB300" s="27" t="b">
        <f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>_xlfn.AGGREGATE(9,6,CH300:CS300)-_xlfn.AGGREGATE(9,6,BV300:CG300)+12</f>
        <v>238</v>
      </c>
      <c r="BD300" s="5" t="s">
        <v>23</v>
      </c>
      <c r="BE300" s="3" t="s">
        <v>1287</v>
      </c>
      <c r="BF300" s="118">
        <v>3.3</v>
      </c>
      <c r="BG300" s="49" t="s">
        <v>1373</v>
      </c>
      <c r="BH300" s="49" t="s">
        <v>1373</v>
      </c>
      <c r="BI300" s="1"/>
      <c r="BJ300" s="70" t="s">
        <v>1283</v>
      </c>
      <c r="BK300" s="57" t="s">
        <v>1283</v>
      </c>
      <c r="BL300" s="57" t="s">
        <v>1283</v>
      </c>
      <c r="BM300" s="57" t="s">
        <v>1283</v>
      </c>
      <c r="BN300" s="57" t="s">
        <v>1283</v>
      </c>
      <c r="BO300" s="57" t="s">
        <v>1283</v>
      </c>
      <c r="BP300" s="57" t="s">
        <v>1283</v>
      </c>
      <c r="BQ300" s="57" t="s">
        <v>1283</v>
      </c>
      <c r="BR300" s="57" t="s">
        <v>1283</v>
      </c>
      <c r="BS300" s="57" t="s">
        <v>1283</v>
      </c>
      <c r="BT300" s="57" t="s">
        <v>1283</v>
      </c>
      <c r="BU300" s="57" t="s">
        <v>1283</v>
      </c>
      <c r="BV300" s="70">
        <f>E300</f>
        <v>61</v>
      </c>
      <c r="BW300" s="71" t="str">
        <f>I300</f>
        <v>-</v>
      </c>
      <c r="BX300" s="72">
        <f>M300</f>
        <v>103</v>
      </c>
      <c r="BY300" s="71">
        <f>Q300</f>
        <v>134</v>
      </c>
      <c r="BZ300" s="72">
        <f>U300</f>
        <v>138</v>
      </c>
      <c r="CA300" s="71">
        <f>Y300</f>
        <v>174</v>
      </c>
      <c r="CB300" s="72">
        <f>AC300</f>
        <v>182</v>
      </c>
      <c r="CC300" s="71">
        <f>AG300</f>
        <v>225</v>
      </c>
      <c r="CD300" s="72">
        <f>AK300</f>
        <v>231</v>
      </c>
      <c r="CE300" s="71">
        <f>AO300</f>
        <v>297</v>
      </c>
      <c r="CF300" s="72">
        <f>AS300</f>
        <v>340</v>
      </c>
      <c r="CG300" s="71" t="str">
        <f>AW300</f>
        <v>-</v>
      </c>
      <c r="CH300" s="70">
        <f>G300</f>
        <v>88</v>
      </c>
      <c r="CI300" s="71" t="str">
        <f>K300</f>
        <v>-</v>
      </c>
      <c r="CJ300" s="72">
        <f>O300</f>
        <v>131</v>
      </c>
      <c r="CK300" s="72">
        <f>S300</f>
        <v>137</v>
      </c>
      <c r="CL300" s="72">
        <f>W300</f>
        <v>173</v>
      </c>
      <c r="CM300" s="72">
        <f>AA300</f>
        <v>181</v>
      </c>
      <c r="CN300" s="72">
        <f>AE300</f>
        <v>208</v>
      </c>
      <c r="CO300" s="72">
        <f>AI300</f>
        <v>227</v>
      </c>
      <c r="CP300" s="72">
        <f>AM300</f>
        <v>268</v>
      </c>
      <c r="CQ300" s="72">
        <f>AQ300</f>
        <v>334</v>
      </c>
      <c r="CR300" s="72">
        <f>AU300</f>
        <v>364</v>
      </c>
      <c r="CS300" s="72" t="str">
        <f>AY300</f>
        <v>-</v>
      </c>
      <c r="CT300" s="23" t="e">
        <f>M300-K300</f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si="2290"/>
        <v>oprd_human__wt</v>
      </c>
      <c r="B301" s="3" t="s">
        <v>334</v>
      </c>
      <c r="C301" s="3" t="s">
        <v>100</v>
      </c>
      <c r="D301" s="3" t="str">
        <f>IFERROR(MID(VLOOKUP($B301,Seqs!$A:$B,2,0),E301,1),"")</f>
        <v>G</v>
      </c>
      <c r="E301" s="3">
        <v>39</v>
      </c>
      <c r="F301" s="3" t="str">
        <f>IFERROR(MID(VLOOKUP($B301,Seqs!$A:$B,2,0),G301,1),"")</f>
        <v>Y</v>
      </c>
      <c r="G301" s="3">
        <v>77</v>
      </c>
      <c r="H301" s="3" t="str">
        <f>IFERROR(MID(VLOOKUP($B301,Seqs!$A:$B,2,0),I301,1),"")</f>
        <v>T</v>
      </c>
      <c r="I301" s="23">
        <v>78</v>
      </c>
      <c r="J301" s="3" t="str">
        <f>IFERROR(MID(VLOOKUP($B301,Seqs!$A:$B,2,0),K301,1),"")</f>
        <v>K</v>
      </c>
      <c r="K301" s="23">
        <v>81</v>
      </c>
      <c r="L301" s="3" t="str">
        <f>IFERROR(MID(VLOOKUP($B301,Seqs!$A:$B,2,0),M301,1),"")</f>
        <v>T</v>
      </c>
      <c r="M301" s="3">
        <v>82</v>
      </c>
      <c r="N301" s="3" t="str">
        <f>IFERROR(MID(VLOOKUP($B301,Seqs!$A:$B,2,0),O301,1),"")</f>
        <v>E</v>
      </c>
      <c r="O301" s="105">
        <v>112</v>
      </c>
      <c r="P301" s="3" t="str">
        <f>IFERROR(MID(VLOOKUP($B301,Seqs!$A:$B,2,0),Q301,1),"")</f>
        <v>T</v>
      </c>
      <c r="Q301" s="3">
        <v>113</v>
      </c>
      <c r="R301" s="3" t="str">
        <f>IFERROR(MID(VLOOKUP($B301,Seqs!$A:$B,2,0),S301,1),"")</f>
        <v>F</v>
      </c>
      <c r="S301" s="3">
        <v>116</v>
      </c>
      <c r="T301" s="3" t="str">
        <f>IFERROR(MID(VLOOKUP($B301,Seqs!$A:$B,2,0),U301,1),"")</f>
        <v>G</v>
      </c>
      <c r="U301" s="3">
        <v>117</v>
      </c>
      <c r="V301" s="3" t="str">
        <f>IFERROR(MID(VLOOKUP($B301,Seqs!$A:$B,2,0),W301,1),"")</f>
        <v>H</v>
      </c>
      <c r="W301" s="3">
        <v>152</v>
      </c>
      <c r="X301" s="3" t="str">
        <f>IFERROR(MID(VLOOKUP($B301,Seqs!$A:$B,2,0),Y301,1),"")</f>
        <v>P</v>
      </c>
      <c r="Y301" s="3">
        <v>153</v>
      </c>
      <c r="Z301" s="3" t="str">
        <f>IFERROR(MID(VLOOKUP($B301,Seqs!$A:$B,2,0),AA301,1),"")</f>
        <v>R</v>
      </c>
      <c r="AA301" s="3">
        <v>160</v>
      </c>
      <c r="AB301" s="3" t="str">
        <f>IFERROR(MID(VLOOKUP($B301,Seqs!$A:$B,2,0),AC301,1),"")</f>
        <v>T</v>
      </c>
      <c r="AC301" s="3">
        <v>161</v>
      </c>
      <c r="AD301" s="3" t="str">
        <f>IFERROR(MID(VLOOKUP($B301,Seqs!$A:$B,2,0),AE301,1),"")</f>
        <v>A</v>
      </c>
      <c r="AE301" s="3">
        <v>187</v>
      </c>
      <c r="AF301" s="3" t="str">
        <f>IFERROR(MID(VLOOKUP($B301,Seqs!$A:$B,2,0),AG301,1),"")</f>
        <v>C</v>
      </c>
      <c r="AG301" s="3">
        <v>198</v>
      </c>
      <c r="AH301" s="3" t="str">
        <f>IFERROR(MID(VLOOKUP($B301,Seqs!$A:$B,2,0),AI301,1),"")</f>
        <v>L</v>
      </c>
      <c r="AI301" s="3">
        <v>200</v>
      </c>
      <c r="AJ301" s="3" t="str">
        <f>IFERROR(MID(VLOOKUP($B301,Seqs!$A:$B,2,0),AK301,1),"")</f>
        <v>P</v>
      </c>
      <c r="AK301" s="105">
        <v>205</v>
      </c>
      <c r="AL301" s="3" t="str">
        <f>IFERROR(MID(VLOOKUP($B301,Seqs!$A:$B,2,0),AM301,1),"")</f>
        <v>V</v>
      </c>
      <c r="AM301" s="3">
        <v>243</v>
      </c>
      <c r="AN301" s="3" t="str">
        <f>IFERROR(MID(VLOOKUP($B301,Seqs!$A:$B,2,0),AO301,1),"")</f>
        <v>S</v>
      </c>
      <c r="AO301" s="3">
        <v>249</v>
      </c>
      <c r="AP301" s="3" t="str">
        <f>IFERROR(MID(VLOOKUP($B301,Seqs!$A:$B,2,0),AQ301,1),"")</f>
        <v>V</v>
      </c>
      <c r="AQ301" s="3">
        <v>287</v>
      </c>
      <c r="AR301" s="3" t="str">
        <f>IFERROR(MID(VLOOKUP($B301,Seqs!$A:$B,2,0),AS301,1),"")</f>
        <v>D</v>
      </c>
      <c r="AS301" s="3">
        <v>293</v>
      </c>
      <c r="AT301" s="3" t="str">
        <f>IFERROR(MID(VLOOKUP($B301,Seqs!$A:$B,2,0),AU301,1),"")</f>
        <v>L</v>
      </c>
      <c r="AU301" s="3">
        <v>321</v>
      </c>
      <c r="AV301" s="3" t="str">
        <f>IFERROR(MID(VLOOKUP($B301,Seqs!$A:$B,2,0),AW301,1),"")</f>
        <v>D</v>
      </c>
      <c r="AW301" s="3">
        <v>322</v>
      </c>
      <c r="AX301" s="3" t="str">
        <f>IFERROR(MID(VLOOKUP($B301,Seqs!$A:$B,2,0),AY301,1),"")</f>
        <v>K</v>
      </c>
      <c r="AY301" s="3">
        <v>335</v>
      </c>
      <c r="AZ301" s="77" t="str">
        <f>VLOOKUP(B301,Classification!A:D,2,0)</f>
        <v>A</v>
      </c>
      <c r="BA301" s="94" t="str">
        <f>VLOOKUP(B301,Classification!A:D,4,0)</f>
        <v>Opioid</v>
      </c>
      <c r="BB301" s="27" t="b">
        <f t="shared" si="2291"/>
        <v>1</v>
      </c>
      <c r="BC301" s="23">
        <f t="shared" si="2012"/>
        <v>273</v>
      </c>
      <c r="BD301" s="56" t="s">
        <v>23</v>
      </c>
      <c r="BE301" s="3" t="s">
        <v>23</v>
      </c>
      <c r="BF301" s="118" t="s">
        <v>23</v>
      </c>
      <c r="BG301" s="49" t="s">
        <v>1368</v>
      </c>
      <c r="BH301" s="49" t="s">
        <v>1373</v>
      </c>
      <c r="BI301" s="1"/>
      <c r="BJ301" s="70" t="s">
        <v>1283</v>
      </c>
      <c r="BK301" s="57" t="s">
        <v>1283</v>
      </c>
      <c r="BL301" s="57" t="s">
        <v>1283</v>
      </c>
      <c r="BM301" s="57" t="s">
        <v>1283</v>
      </c>
      <c r="BN301" s="57" t="s">
        <v>1283</v>
      </c>
      <c r="BO301" s="57" t="s">
        <v>1283</v>
      </c>
      <c r="BP301" s="57" t="s">
        <v>1283</v>
      </c>
      <c r="BQ301" s="57" t="s">
        <v>1283</v>
      </c>
      <c r="BR301" s="57" t="s">
        <v>1283</v>
      </c>
      <c r="BS301" s="57" t="s">
        <v>1283</v>
      </c>
      <c r="BT301" s="57" t="s">
        <v>1283</v>
      </c>
      <c r="BU301" s="57" t="s">
        <v>1283</v>
      </c>
      <c r="BV301" s="70">
        <f t="shared" si="2013"/>
        <v>39</v>
      </c>
      <c r="BW301" s="71">
        <f t="shared" si="2014"/>
        <v>78</v>
      </c>
      <c r="BX301" s="72">
        <f t="shared" si="2015"/>
        <v>82</v>
      </c>
      <c r="BY301" s="71">
        <f t="shared" si="2016"/>
        <v>113</v>
      </c>
      <c r="BZ301" s="72">
        <f t="shared" si="2017"/>
        <v>117</v>
      </c>
      <c r="CA301" s="71">
        <f t="shared" si="2018"/>
        <v>153</v>
      </c>
      <c r="CB301" s="72">
        <f t="shared" si="2019"/>
        <v>161</v>
      </c>
      <c r="CC301" s="71">
        <f t="shared" si="2020"/>
        <v>198</v>
      </c>
      <c r="CD301" s="72">
        <f t="shared" si="2021"/>
        <v>205</v>
      </c>
      <c r="CE301" s="71">
        <f t="shared" si="2022"/>
        <v>249</v>
      </c>
      <c r="CF301" s="72">
        <f t="shared" si="2023"/>
        <v>293</v>
      </c>
      <c r="CG301" s="71">
        <f t="shared" si="2024"/>
        <v>322</v>
      </c>
      <c r="CH301" s="70">
        <f t="shared" si="2025"/>
        <v>77</v>
      </c>
      <c r="CI301" s="71">
        <f t="shared" si="2026"/>
        <v>81</v>
      </c>
      <c r="CJ301" s="72">
        <f t="shared" si="2027"/>
        <v>112</v>
      </c>
      <c r="CK301" s="72">
        <f t="shared" si="2028"/>
        <v>116</v>
      </c>
      <c r="CL301" s="72">
        <f t="shared" si="2029"/>
        <v>152</v>
      </c>
      <c r="CM301" s="72">
        <f t="shared" si="2030"/>
        <v>160</v>
      </c>
      <c r="CN301" s="72">
        <f t="shared" si="2031"/>
        <v>187</v>
      </c>
      <c r="CO301" s="72">
        <f t="shared" si="2032"/>
        <v>200</v>
      </c>
      <c r="CP301" s="72">
        <f t="shared" si="2033"/>
        <v>243</v>
      </c>
      <c r="CQ301" s="72">
        <f t="shared" si="2034"/>
        <v>287</v>
      </c>
      <c r="CR301" s="72">
        <f t="shared" si="2035"/>
        <v>321</v>
      </c>
      <c r="CS301" s="72">
        <f t="shared" si="2036"/>
        <v>335</v>
      </c>
      <c r="CT301" s="23">
        <f t="shared" si="2037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2290"/>
        <v>oprd_human_4N6H</v>
      </c>
      <c r="B302" s="3" t="s">
        <v>334</v>
      </c>
      <c r="C302" s="3" t="s">
        <v>87</v>
      </c>
      <c r="D302" s="3" t="str">
        <f>IFERROR(MID(VLOOKUP($B302,Seqs!$A:$B,2,0),E302,1),"")</f>
        <v>G</v>
      </c>
      <c r="E302" s="3">
        <v>39</v>
      </c>
      <c r="F302" s="3" t="str">
        <f>IFERROR(MID(VLOOKUP($B302,Seqs!$A:$B,2,0),G302,1),"")</f>
        <v>Y</v>
      </c>
      <c r="G302" s="3">
        <v>77</v>
      </c>
      <c r="H302" s="3" t="str">
        <f>IFERROR(MID(VLOOKUP($B302,Seqs!$A:$B,2,0),I302,1),"")</f>
        <v>T</v>
      </c>
      <c r="I302" s="23">
        <v>78</v>
      </c>
      <c r="J302" s="3" t="str">
        <f>IFERROR(MID(VLOOKUP($B302,Seqs!$A:$B,2,0),K302,1),"")</f>
        <v>K</v>
      </c>
      <c r="K302" s="23">
        <v>81</v>
      </c>
      <c r="L302" s="3" t="str">
        <f>IFERROR(MID(VLOOKUP($B302,Seqs!$A:$B,2,0),M302,1),"")</f>
        <v>T</v>
      </c>
      <c r="M302" s="3">
        <v>82</v>
      </c>
      <c r="N302" s="3" t="str">
        <f>IFERROR(MID(VLOOKUP($B302,Seqs!$A:$B,2,0),O302,1),"")</f>
        <v>M</v>
      </c>
      <c r="O302" s="3">
        <v>111</v>
      </c>
      <c r="P302" s="3" t="str">
        <f>IFERROR(MID(VLOOKUP($B302,Seqs!$A:$B,2,0),Q302,1),"")</f>
        <v>T</v>
      </c>
      <c r="Q302" s="3">
        <v>113</v>
      </c>
      <c r="R302" s="3" t="str">
        <f>IFERROR(MID(VLOOKUP($B302,Seqs!$A:$B,2,0),S302,1),"")</f>
        <v>F</v>
      </c>
      <c r="S302" s="3">
        <v>116</v>
      </c>
      <c r="T302" s="3" t="str">
        <f>IFERROR(MID(VLOOKUP($B302,Seqs!$A:$B,2,0),U302,1),"")</f>
        <v>G</v>
      </c>
      <c r="U302" s="3">
        <v>117</v>
      </c>
      <c r="V302" s="3" t="str">
        <f>IFERROR(MID(VLOOKUP($B302,Seqs!$A:$B,2,0),W302,1),"")</f>
        <v>H</v>
      </c>
      <c r="W302" s="3">
        <v>152</v>
      </c>
      <c r="X302" s="3" t="str">
        <f>IFERROR(MID(VLOOKUP($B302,Seqs!$A:$B,2,0),Y302,1),"")</f>
        <v>P</v>
      </c>
      <c r="Y302" s="3">
        <v>153</v>
      </c>
      <c r="Z302" s="3" t="str">
        <f>IFERROR(MID(VLOOKUP($B302,Seqs!$A:$B,2,0),AA302,1),"")</f>
        <v>R</v>
      </c>
      <c r="AA302" s="3">
        <v>160</v>
      </c>
      <c r="AB302" s="3" t="str">
        <f>IFERROR(MID(VLOOKUP($B302,Seqs!$A:$B,2,0),AC302,1),"")</f>
        <v>T</v>
      </c>
      <c r="AC302" s="3">
        <v>161</v>
      </c>
      <c r="AD302" s="3" t="str">
        <f>IFERROR(MID(VLOOKUP($B302,Seqs!$A:$B,2,0),AE302,1),"")</f>
        <v>A</v>
      </c>
      <c r="AE302" s="3">
        <v>187</v>
      </c>
      <c r="AF302" s="3" t="str">
        <f>IFERROR(MID(VLOOKUP($B302,Seqs!$A:$B,2,0),AG302,1),"")</f>
        <v>C</v>
      </c>
      <c r="AG302" s="3">
        <v>198</v>
      </c>
      <c r="AH302" s="3" t="str">
        <f>IFERROR(MID(VLOOKUP($B302,Seqs!$A:$B,2,0),AI302,1),"")</f>
        <v>L</v>
      </c>
      <c r="AI302" s="3">
        <v>200</v>
      </c>
      <c r="AJ302" s="3" t="str">
        <f>IFERROR(MID(VLOOKUP($B302,Seqs!$A:$B,2,0),AK302,1),"")</f>
        <v>P</v>
      </c>
      <c r="AK302" s="3">
        <v>205</v>
      </c>
      <c r="AL302" s="3" t="str">
        <f>IFERROR(MID(VLOOKUP($B302,Seqs!$A:$B,2,0),AM302,1),"")</f>
        <v>V</v>
      </c>
      <c r="AM302" s="3">
        <v>243</v>
      </c>
      <c r="AN302" s="3" t="str">
        <f>IFERROR(MID(VLOOKUP($B302,Seqs!$A:$B,2,0),AO302,1),"")</f>
        <v>S</v>
      </c>
      <c r="AO302" s="3">
        <v>249</v>
      </c>
      <c r="AP302" s="3" t="str">
        <f>IFERROR(MID(VLOOKUP($B302,Seqs!$A:$B,2,0),AQ302,1),"")</f>
        <v>V</v>
      </c>
      <c r="AQ302" s="3">
        <v>287</v>
      </c>
      <c r="AR302" s="3" t="str">
        <f>IFERROR(MID(VLOOKUP($B302,Seqs!$A:$B,2,0),AS302,1),"")</f>
        <v>D</v>
      </c>
      <c r="AS302" s="3">
        <v>293</v>
      </c>
      <c r="AT302" s="3" t="str">
        <f>IFERROR(MID(VLOOKUP($B302,Seqs!$A:$B,2,0),AU302,1),"")</f>
        <v>L</v>
      </c>
      <c r="AU302" s="3">
        <v>321</v>
      </c>
      <c r="AV302" s="3" t="str">
        <f>IFERROR(MID(VLOOKUP($B302,Seqs!$A:$B,2,0),AW302,1),"")</f>
        <v>D</v>
      </c>
      <c r="AW302" s="3">
        <v>322</v>
      </c>
      <c r="AX302" s="3" t="str">
        <f>IFERROR(MID(VLOOKUP($B302,Seqs!$A:$B,2,0),AY302,1),"")</f>
        <v>K</v>
      </c>
      <c r="AY302" s="3">
        <v>335</v>
      </c>
      <c r="AZ302" s="77" t="str">
        <f>VLOOKUP(B302,Classification!A:D,2,0)</f>
        <v>A</v>
      </c>
      <c r="BA302" s="94" t="str">
        <f>VLOOKUP(B302,Classification!A:D,4,0)</f>
        <v>Opioid</v>
      </c>
      <c r="BB302" s="27" t="b">
        <f t="shared" si="2291"/>
        <v>1</v>
      </c>
      <c r="BC302" s="23">
        <f t="shared" si="2012"/>
        <v>272</v>
      </c>
      <c r="BD302" s="16" t="s">
        <v>1372</v>
      </c>
      <c r="BE302" s="3" t="s">
        <v>1370</v>
      </c>
      <c r="BF302" s="118">
        <v>1.8</v>
      </c>
      <c r="BG302" s="49" t="s">
        <v>1373</v>
      </c>
      <c r="BH302" s="49" t="s">
        <v>1373</v>
      </c>
      <c r="BJ302" s="70" t="s">
        <v>1283</v>
      </c>
      <c r="BK302" s="57" t="s">
        <v>1283</v>
      </c>
      <c r="BL302" s="57" t="s">
        <v>1283</v>
      </c>
      <c r="BM302" s="57" t="s">
        <v>1283</v>
      </c>
      <c r="BN302" s="57" t="s">
        <v>1283</v>
      </c>
      <c r="BO302" s="57" t="s">
        <v>1283</v>
      </c>
      <c r="BP302" s="57" t="s">
        <v>1283</v>
      </c>
      <c r="BQ302" s="57" t="s">
        <v>1283</v>
      </c>
      <c r="BR302" s="57" t="s">
        <v>1283</v>
      </c>
      <c r="BS302" s="57" t="s">
        <v>1283</v>
      </c>
      <c r="BT302" s="57" t="s">
        <v>1283</v>
      </c>
      <c r="BU302" s="57" t="s">
        <v>1283</v>
      </c>
      <c r="BV302" s="70">
        <f t="shared" si="2013"/>
        <v>39</v>
      </c>
      <c r="BW302" s="71">
        <f t="shared" si="2014"/>
        <v>78</v>
      </c>
      <c r="BX302" s="72">
        <f t="shared" si="2015"/>
        <v>82</v>
      </c>
      <c r="BY302" s="71">
        <f t="shared" si="2016"/>
        <v>113</v>
      </c>
      <c r="BZ302" s="72">
        <f t="shared" si="2017"/>
        <v>117</v>
      </c>
      <c r="CA302" s="71">
        <f t="shared" si="2018"/>
        <v>153</v>
      </c>
      <c r="CB302" s="72">
        <f t="shared" si="2019"/>
        <v>161</v>
      </c>
      <c r="CC302" s="71">
        <f t="shared" si="2020"/>
        <v>198</v>
      </c>
      <c r="CD302" s="72">
        <f t="shared" si="2021"/>
        <v>205</v>
      </c>
      <c r="CE302" s="71">
        <f t="shared" si="2022"/>
        <v>249</v>
      </c>
      <c r="CF302" s="72">
        <f t="shared" si="2023"/>
        <v>293</v>
      </c>
      <c r="CG302" s="71">
        <f t="shared" si="2024"/>
        <v>322</v>
      </c>
      <c r="CH302" s="70">
        <f t="shared" si="2025"/>
        <v>77</v>
      </c>
      <c r="CI302" s="71">
        <f t="shared" si="2026"/>
        <v>81</v>
      </c>
      <c r="CJ302" s="72">
        <f t="shared" si="2027"/>
        <v>111</v>
      </c>
      <c r="CK302" s="72">
        <f t="shared" si="2028"/>
        <v>116</v>
      </c>
      <c r="CL302" s="72">
        <f t="shared" si="2029"/>
        <v>152</v>
      </c>
      <c r="CM302" s="72">
        <f t="shared" si="2030"/>
        <v>160</v>
      </c>
      <c r="CN302" s="72">
        <f t="shared" si="2031"/>
        <v>187</v>
      </c>
      <c r="CO302" s="72">
        <f t="shared" si="2032"/>
        <v>200</v>
      </c>
      <c r="CP302" s="72">
        <f t="shared" si="2033"/>
        <v>243</v>
      </c>
      <c r="CQ302" s="72">
        <f t="shared" si="2034"/>
        <v>287</v>
      </c>
      <c r="CR302" s="72">
        <f t="shared" si="2035"/>
        <v>321</v>
      </c>
      <c r="CS302" s="72">
        <f t="shared" si="2036"/>
        <v>335</v>
      </c>
      <c r="CT302" s="23">
        <f t="shared" si="2037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s="2" customFormat="1" x14ac:dyDescent="0.2">
      <c r="A303" s="3" t="str">
        <f t="shared" si="2290"/>
        <v>oprd_human_4RWD</v>
      </c>
      <c r="B303" s="1" t="s">
        <v>334</v>
      </c>
      <c r="C303" s="1" t="s">
        <v>1334</v>
      </c>
      <c r="D303" s="3" t="str">
        <f>IFERROR(MID(VLOOKUP($B303,Seqs!$A:$B,2,0),E303,1),"")</f>
        <v>A</v>
      </c>
      <c r="E303" s="3">
        <v>43</v>
      </c>
      <c r="F303" s="3" t="str">
        <f>IFERROR(MID(VLOOKUP($B303,Seqs!$A:$B,2,0),G303,1),"")</f>
        <v>Y</v>
      </c>
      <c r="G303" s="3">
        <v>77</v>
      </c>
      <c r="H303" s="3" t="str">
        <f>IFERROR(MID(VLOOKUP($B303,Seqs!$A:$B,2,0),I303,1),"")</f>
        <v>T</v>
      </c>
      <c r="I303" s="23">
        <v>78</v>
      </c>
      <c r="J303" s="3" t="str">
        <f>IFERROR(MID(VLOOKUP($B303,Seqs!$A:$B,2,0),K303,1),"")</f>
        <v>K</v>
      </c>
      <c r="K303" s="23">
        <v>81</v>
      </c>
      <c r="L303" s="3" t="str">
        <f>IFERROR(MID(VLOOKUP($B303,Seqs!$A:$B,2,0),M303,1),"")</f>
        <v>T</v>
      </c>
      <c r="M303" s="3">
        <v>82</v>
      </c>
      <c r="N303" s="3" t="str">
        <f>IFERROR(MID(VLOOKUP($B303,Seqs!$A:$B,2,0),O303,1),"")</f>
        <v>E</v>
      </c>
      <c r="O303" s="3">
        <v>112</v>
      </c>
      <c r="P303" s="3" t="str">
        <f>IFERROR(MID(VLOOKUP($B303,Seqs!$A:$B,2,0),Q303,1),"")</f>
        <v>T</v>
      </c>
      <c r="Q303" s="3">
        <v>113</v>
      </c>
      <c r="R303" s="3" t="str">
        <f>IFERROR(MID(VLOOKUP($B303,Seqs!$A:$B,2,0),S303,1),"")</f>
        <v>F</v>
      </c>
      <c r="S303" s="3">
        <v>116</v>
      </c>
      <c r="T303" s="3" t="str">
        <f>IFERROR(MID(VLOOKUP($B303,Seqs!$A:$B,2,0),U303,1),"")</f>
        <v>G</v>
      </c>
      <c r="U303" s="3">
        <v>117</v>
      </c>
      <c r="V303" s="3" t="str">
        <f>IFERROR(MID(VLOOKUP($B303,Seqs!$A:$B,2,0),W303,1),"")</f>
        <v>H</v>
      </c>
      <c r="W303" s="3">
        <v>152</v>
      </c>
      <c r="X303" s="3" t="str">
        <f>IFERROR(MID(VLOOKUP($B303,Seqs!$A:$B,2,0),Y303,1),"")</f>
        <v>P</v>
      </c>
      <c r="Y303" s="3">
        <v>153</v>
      </c>
      <c r="Z303" s="3" t="str">
        <f>IFERROR(MID(VLOOKUP($B303,Seqs!$A:$B,2,0),AA303,1),"")</f>
        <v>R</v>
      </c>
      <c r="AA303" s="3">
        <v>160</v>
      </c>
      <c r="AB303" s="3" t="str">
        <f>IFERROR(MID(VLOOKUP($B303,Seqs!$A:$B,2,0),AC303,1),"")</f>
        <v>T</v>
      </c>
      <c r="AC303" s="3">
        <v>161</v>
      </c>
      <c r="AD303" s="3" t="str">
        <f>IFERROR(MID(VLOOKUP($B303,Seqs!$A:$B,2,0),AE303,1),"")</f>
        <v>A</v>
      </c>
      <c r="AE303" s="3">
        <v>187</v>
      </c>
      <c r="AF303" s="3" t="str">
        <f>IFERROR(MID(VLOOKUP($B303,Seqs!$A:$B,2,0),AG303,1),"")</f>
        <v>C</v>
      </c>
      <c r="AG303" s="3">
        <v>198</v>
      </c>
      <c r="AH303" s="3" t="str">
        <f>IFERROR(MID(VLOOKUP($B303,Seqs!$A:$B,2,0),AI303,1),"")</f>
        <v>L</v>
      </c>
      <c r="AI303" s="3">
        <v>200</v>
      </c>
      <c r="AJ303" s="3" t="str">
        <f>IFERROR(MID(VLOOKUP($B303,Seqs!$A:$B,2,0),AK303,1),"")</f>
        <v>P</v>
      </c>
      <c r="AK303" s="3">
        <v>205</v>
      </c>
      <c r="AL303" s="3" t="str">
        <f>IFERROR(MID(VLOOKUP($B303,Seqs!$A:$B,2,0),AM303,1),"")</f>
        <v>V</v>
      </c>
      <c r="AM303" s="3">
        <v>243</v>
      </c>
      <c r="AN303" s="3" t="str">
        <f>IFERROR(MID(VLOOKUP($B303,Seqs!$A:$B,2,0),AO303,1),"")</f>
        <v>S</v>
      </c>
      <c r="AO303" s="3">
        <v>249</v>
      </c>
      <c r="AP303" s="3" t="str">
        <f>IFERROR(MID(VLOOKUP($B303,Seqs!$A:$B,2,0),AQ303,1),"")</f>
        <v>V</v>
      </c>
      <c r="AQ303" s="3">
        <v>287</v>
      </c>
      <c r="AR303" s="3" t="str">
        <f>IFERROR(MID(VLOOKUP($B303,Seqs!$A:$B,2,0),AS303,1),"")</f>
        <v>D</v>
      </c>
      <c r="AS303" s="3">
        <v>293</v>
      </c>
      <c r="AT303" s="3" t="str">
        <f>IFERROR(MID(VLOOKUP($B303,Seqs!$A:$B,2,0),AU303,1),"")</f>
        <v>L</v>
      </c>
      <c r="AU303" s="3">
        <v>321</v>
      </c>
      <c r="AV303" s="3" t="str">
        <f>IFERROR(MID(VLOOKUP($B303,Seqs!$A:$B,2,0),AW303,1),"")</f>
        <v>D</v>
      </c>
      <c r="AW303" s="3">
        <v>322</v>
      </c>
      <c r="AX303" s="3" t="str">
        <f>IFERROR(MID(VLOOKUP($B303,Seqs!$A:$B,2,0),AY303,1),"")</f>
        <v>C</v>
      </c>
      <c r="AY303" s="3">
        <v>333</v>
      </c>
      <c r="AZ303" s="77" t="str">
        <f>VLOOKUP(B303,Classification!A:D,2,0)</f>
        <v>A</v>
      </c>
      <c r="BA303" s="94" t="str">
        <f>VLOOKUP(B303,Classification!A:D,4,0)</f>
        <v>Opioid</v>
      </c>
      <c r="BB303" s="27" t="b">
        <f t="shared" si="2291"/>
        <v>1</v>
      </c>
      <c r="BC303" s="23">
        <f t="shared" si="2012"/>
        <v>267</v>
      </c>
      <c r="BD303" s="16" t="s">
        <v>23</v>
      </c>
      <c r="BE303" s="3" t="s">
        <v>1370</v>
      </c>
      <c r="BF303" s="118">
        <v>2.7</v>
      </c>
      <c r="BG303" s="49" t="s">
        <v>1373</v>
      </c>
      <c r="BH303" s="49" t="s">
        <v>1373</v>
      </c>
      <c r="BI303" s="3"/>
      <c r="BJ303" s="70" t="s">
        <v>1283</v>
      </c>
      <c r="BK303" s="57" t="s">
        <v>1283</v>
      </c>
      <c r="BL303" s="57" t="s">
        <v>1283</v>
      </c>
      <c r="BM303" s="57" t="s">
        <v>1283</v>
      </c>
      <c r="BN303" s="57" t="s">
        <v>1283</v>
      </c>
      <c r="BO303" s="57" t="s">
        <v>1283</v>
      </c>
      <c r="BP303" s="57" t="s">
        <v>1283</v>
      </c>
      <c r="BQ303" s="57" t="s">
        <v>1283</v>
      </c>
      <c r="BR303" s="57" t="s">
        <v>1283</v>
      </c>
      <c r="BS303" s="57" t="s">
        <v>1283</v>
      </c>
      <c r="BT303" s="57" t="s">
        <v>1283</v>
      </c>
      <c r="BU303" s="57" t="s">
        <v>1283</v>
      </c>
      <c r="BV303" s="70">
        <f t="shared" si="2013"/>
        <v>43</v>
      </c>
      <c r="BW303" s="71">
        <f t="shared" si="2014"/>
        <v>78</v>
      </c>
      <c r="BX303" s="72">
        <f t="shared" si="2015"/>
        <v>82</v>
      </c>
      <c r="BY303" s="71">
        <f t="shared" si="2016"/>
        <v>113</v>
      </c>
      <c r="BZ303" s="72">
        <f t="shared" si="2017"/>
        <v>117</v>
      </c>
      <c r="CA303" s="71">
        <f t="shared" si="2018"/>
        <v>153</v>
      </c>
      <c r="CB303" s="72">
        <f t="shared" si="2019"/>
        <v>161</v>
      </c>
      <c r="CC303" s="71">
        <f t="shared" si="2020"/>
        <v>198</v>
      </c>
      <c r="CD303" s="72">
        <f t="shared" si="2021"/>
        <v>205</v>
      </c>
      <c r="CE303" s="71">
        <f t="shared" si="2022"/>
        <v>249</v>
      </c>
      <c r="CF303" s="72">
        <f t="shared" si="2023"/>
        <v>293</v>
      </c>
      <c r="CG303" s="71">
        <f t="shared" si="2024"/>
        <v>322</v>
      </c>
      <c r="CH303" s="70">
        <f t="shared" si="2025"/>
        <v>77</v>
      </c>
      <c r="CI303" s="71">
        <f t="shared" si="2026"/>
        <v>81</v>
      </c>
      <c r="CJ303" s="72">
        <f t="shared" si="2027"/>
        <v>112</v>
      </c>
      <c r="CK303" s="72">
        <f t="shared" si="2028"/>
        <v>116</v>
      </c>
      <c r="CL303" s="72">
        <f t="shared" si="2029"/>
        <v>152</v>
      </c>
      <c r="CM303" s="72">
        <f t="shared" si="2030"/>
        <v>160</v>
      </c>
      <c r="CN303" s="72">
        <f t="shared" si="2031"/>
        <v>187</v>
      </c>
      <c r="CO303" s="72">
        <f t="shared" si="2032"/>
        <v>200</v>
      </c>
      <c r="CP303" s="72">
        <f t="shared" si="2033"/>
        <v>243</v>
      </c>
      <c r="CQ303" s="72">
        <f t="shared" si="2034"/>
        <v>287</v>
      </c>
      <c r="CR303" s="72">
        <f t="shared" si="2035"/>
        <v>321</v>
      </c>
      <c r="CS303" s="72">
        <f t="shared" si="2036"/>
        <v>333</v>
      </c>
      <c r="CT303" s="23">
        <f t="shared" si="2037"/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</row>
    <row r="304" spans="1:1030" s="40" customFormat="1" x14ac:dyDescent="0.2">
      <c r="A304" s="9" t="str">
        <f t="shared" ref="A304" si="2878">CONCATENATE(B304,"_",C304)</f>
        <v>oprd_human_6PT2</v>
      </c>
      <c r="B304" s="12" t="s">
        <v>334</v>
      </c>
      <c r="C304" s="12" t="s">
        <v>1708</v>
      </c>
      <c r="D304" s="9" t="str">
        <f>IFERROR(MID(VLOOKUP($B304,Seqs!$A:$B,2,0),E304,1),"")</f>
        <v>S</v>
      </c>
      <c r="E304" s="9">
        <v>45</v>
      </c>
      <c r="F304" s="9" t="str">
        <f>IFERROR(MID(VLOOKUP($B304,Seqs!$A:$B,2,0),G304,1),"")</f>
        <v>Y</v>
      </c>
      <c r="G304" s="9">
        <v>77</v>
      </c>
      <c r="H304" s="9" t="str">
        <f>IFERROR(MID(VLOOKUP($B304,Seqs!$A:$B,2,0),I304,1),"")</f>
        <v/>
      </c>
      <c r="I304" s="109" t="s">
        <v>23</v>
      </c>
      <c r="J304" s="9" t="str">
        <f>IFERROR(MID(VLOOKUP($B304,Seqs!$A:$B,2,0),K304,1),"")</f>
        <v/>
      </c>
      <c r="K304" s="109" t="s">
        <v>23</v>
      </c>
      <c r="L304" s="9" t="str">
        <f>IFERROR(MID(VLOOKUP($B304,Seqs!$A:$B,2,0),M304,1),"")</f>
        <v>T</v>
      </c>
      <c r="M304" s="9">
        <v>82</v>
      </c>
      <c r="N304" s="9" t="str">
        <f>IFERROR(MID(VLOOKUP($B304,Seqs!$A:$B,2,0),O304,1),"")</f>
        <v>E</v>
      </c>
      <c r="O304" s="9">
        <v>112</v>
      </c>
      <c r="P304" s="9" t="str">
        <f>IFERROR(MID(VLOOKUP($B304,Seqs!$A:$B,2,0),Q304,1),"")</f>
        <v>T</v>
      </c>
      <c r="Q304" s="9">
        <v>113</v>
      </c>
      <c r="R304" s="9" t="str">
        <f>IFERROR(MID(VLOOKUP($B304,Seqs!$A:$B,2,0),S304,1),"")</f>
        <v>F</v>
      </c>
      <c r="S304" s="9">
        <v>116</v>
      </c>
      <c r="T304" s="9" t="str">
        <f>IFERROR(MID(VLOOKUP($B304,Seqs!$A:$B,2,0),U304,1),"")</f>
        <v>G</v>
      </c>
      <c r="U304" s="9">
        <v>117</v>
      </c>
      <c r="V304" s="9" t="str">
        <f>IFERROR(MID(VLOOKUP($B304,Seqs!$A:$B,2,0),W304,1),"")</f>
        <v>H</v>
      </c>
      <c r="W304" s="9">
        <v>152</v>
      </c>
      <c r="X304" s="9" t="str">
        <f>IFERROR(MID(VLOOKUP($B304,Seqs!$A:$B,2,0),Y304,1),"")</f>
        <v>P</v>
      </c>
      <c r="Y304" s="9">
        <v>153</v>
      </c>
      <c r="Z304" s="9" t="str">
        <f>IFERROR(MID(VLOOKUP($B304,Seqs!$A:$B,2,0),AA304,1),"")</f>
        <v>R</v>
      </c>
      <c r="AA304" s="9">
        <v>160</v>
      </c>
      <c r="AB304" s="9" t="str">
        <f>IFERROR(MID(VLOOKUP($B304,Seqs!$A:$B,2,0),AC304,1),"")</f>
        <v>T</v>
      </c>
      <c r="AC304" s="9">
        <v>161</v>
      </c>
      <c r="AD304" s="9" t="str">
        <f>IFERROR(MID(VLOOKUP($B304,Seqs!$A:$B,2,0),AE304,1),"")</f>
        <v>A</v>
      </c>
      <c r="AE304" s="9">
        <v>187</v>
      </c>
      <c r="AF304" s="9" t="str">
        <f>IFERROR(MID(VLOOKUP($B304,Seqs!$A:$B,2,0),AG304,1),"")</f>
        <v>C</v>
      </c>
      <c r="AG304" s="9">
        <v>198</v>
      </c>
      <c r="AH304" s="9" t="str">
        <f>IFERROR(MID(VLOOKUP($B304,Seqs!$A:$B,2,0),AI304,1),"")</f>
        <v>L</v>
      </c>
      <c r="AI304" s="9">
        <v>200</v>
      </c>
      <c r="AJ304" s="9" t="str">
        <f>IFERROR(MID(VLOOKUP($B304,Seqs!$A:$B,2,0),AK304,1),"")</f>
        <v>P</v>
      </c>
      <c r="AK304" s="9">
        <v>205</v>
      </c>
      <c r="AL304" s="9" t="str">
        <f>IFERROR(MID(VLOOKUP($B304,Seqs!$A:$B,2,0),AM304,1),"")</f>
        <v>S</v>
      </c>
      <c r="AM304" s="9">
        <v>247</v>
      </c>
      <c r="AN304" s="9" t="str">
        <f>IFERROR(MID(VLOOKUP($B304,Seqs!$A:$B,2,0),AO304,1),"")</f>
        <v>K</v>
      </c>
      <c r="AO304" s="9">
        <v>250</v>
      </c>
      <c r="AP304" s="9" t="str">
        <f>IFERROR(MID(VLOOKUP($B304,Seqs!$A:$B,2,0),AQ304,1),"")</f>
        <v>V</v>
      </c>
      <c r="AQ304" s="9">
        <v>287</v>
      </c>
      <c r="AR304" s="9" t="str">
        <f>IFERROR(MID(VLOOKUP($B304,Seqs!$A:$B,2,0),AS304,1),"")</f>
        <v>D</v>
      </c>
      <c r="AS304" s="9">
        <v>293</v>
      </c>
      <c r="AT304" s="9" t="str">
        <f>IFERROR(MID(VLOOKUP($B304,Seqs!$A:$B,2,0),AU304,1),"")</f>
        <v>L</v>
      </c>
      <c r="AU304" s="9">
        <v>321</v>
      </c>
      <c r="AV304" s="9" t="str">
        <f>IFERROR(MID(VLOOKUP($B304,Seqs!$A:$B,2,0),AW304,1),"")</f>
        <v>D</v>
      </c>
      <c r="AW304" s="9">
        <v>322</v>
      </c>
      <c r="AX304" s="9" t="str">
        <f>IFERROR(MID(VLOOKUP($B304,Seqs!$A:$B,2,0),AY304,1),"")</f>
        <v>F</v>
      </c>
      <c r="AY304" s="9">
        <v>329</v>
      </c>
      <c r="AZ304" s="110" t="str">
        <f>VLOOKUP(B304,Classification!A:D,2,0)</f>
        <v>A</v>
      </c>
      <c r="BA304" s="98" t="str">
        <f>VLOOKUP(B304,Classification!A:D,4,0)</f>
        <v>Opioid</v>
      </c>
      <c r="BB304" s="36" t="b">
        <f t="shared" ref="BB304" si="2879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" si="2880">_xlfn.AGGREGATE(9,6,CH304:CS304)-_xlfn.AGGREGATE(9,6,BV304:CG304)+12</f>
        <v>261</v>
      </c>
      <c r="BD304" s="125" t="s">
        <v>1425</v>
      </c>
      <c r="BE304" s="9" t="s">
        <v>1424</v>
      </c>
      <c r="BF304" s="119">
        <v>2.8</v>
      </c>
      <c r="BG304" s="51" t="s">
        <v>1</v>
      </c>
      <c r="BH304" s="51" t="s">
        <v>1</v>
      </c>
      <c r="BI304" s="9"/>
      <c r="BJ304" s="111" t="s">
        <v>1283</v>
      </c>
      <c r="BK304" s="112" t="s">
        <v>1283</v>
      </c>
      <c r="BL304" s="112" t="s">
        <v>1283</v>
      </c>
      <c r="BM304" s="112" t="s">
        <v>1283</v>
      </c>
      <c r="BN304" s="112" t="s">
        <v>1283</v>
      </c>
      <c r="BO304" s="112" t="s">
        <v>1283</v>
      </c>
      <c r="BP304" s="112" t="s">
        <v>1283</v>
      </c>
      <c r="BQ304" s="112" t="s">
        <v>1283</v>
      </c>
      <c r="BR304" s="112" t="s">
        <v>1283</v>
      </c>
      <c r="BS304" s="112" t="s">
        <v>1283</v>
      </c>
      <c r="BT304" s="112" t="s">
        <v>1283</v>
      </c>
      <c r="BU304" s="112" t="s">
        <v>1283</v>
      </c>
      <c r="BV304" s="111">
        <f t="shared" ref="BV304" si="2881">E304</f>
        <v>45</v>
      </c>
      <c r="BW304" s="113" t="str">
        <f t="shared" ref="BW304" si="2882">I304</f>
        <v>-</v>
      </c>
      <c r="BX304" s="114">
        <f t="shared" ref="BX304" si="2883">M304</f>
        <v>82</v>
      </c>
      <c r="BY304" s="113">
        <f t="shared" ref="BY304" si="2884">Q304</f>
        <v>113</v>
      </c>
      <c r="BZ304" s="114">
        <f t="shared" ref="BZ304" si="2885">U304</f>
        <v>117</v>
      </c>
      <c r="CA304" s="113">
        <f t="shared" ref="CA304" si="2886">Y304</f>
        <v>153</v>
      </c>
      <c r="CB304" s="114">
        <f t="shared" ref="CB304" si="2887">AC304</f>
        <v>161</v>
      </c>
      <c r="CC304" s="113">
        <f t="shared" ref="CC304" si="2888">AG304</f>
        <v>198</v>
      </c>
      <c r="CD304" s="114">
        <f t="shared" ref="CD304" si="2889">AK304</f>
        <v>205</v>
      </c>
      <c r="CE304" s="113">
        <f t="shared" ref="CE304" si="2890">AO304</f>
        <v>250</v>
      </c>
      <c r="CF304" s="114">
        <f t="shared" ref="CF304" si="2891">AS304</f>
        <v>293</v>
      </c>
      <c r="CG304" s="113">
        <f t="shared" ref="CG304" si="2892">AW304</f>
        <v>322</v>
      </c>
      <c r="CH304" s="111">
        <f t="shared" ref="CH304" si="2893">G304</f>
        <v>77</v>
      </c>
      <c r="CI304" s="113" t="str">
        <f t="shared" ref="CI304" si="2894">K304</f>
        <v>-</v>
      </c>
      <c r="CJ304" s="114">
        <f t="shared" ref="CJ304" si="2895">O304</f>
        <v>112</v>
      </c>
      <c r="CK304" s="114">
        <f t="shared" ref="CK304" si="2896">S304</f>
        <v>116</v>
      </c>
      <c r="CL304" s="114">
        <f t="shared" ref="CL304" si="2897">W304</f>
        <v>152</v>
      </c>
      <c r="CM304" s="114">
        <f t="shared" ref="CM304" si="2898">AA304</f>
        <v>160</v>
      </c>
      <c r="CN304" s="114">
        <f t="shared" ref="CN304" si="2899">AE304</f>
        <v>187</v>
      </c>
      <c r="CO304" s="114">
        <f t="shared" ref="CO304" si="2900">AI304</f>
        <v>200</v>
      </c>
      <c r="CP304" s="114">
        <f t="shared" ref="CP304" si="2901">AM304</f>
        <v>247</v>
      </c>
      <c r="CQ304" s="114">
        <f t="shared" ref="CQ304" si="2902">AQ304</f>
        <v>287</v>
      </c>
      <c r="CR304" s="114">
        <f t="shared" ref="CR304" si="2903">AU304</f>
        <v>321</v>
      </c>
      <c r="CS304" s="114">
        <f t="shared" ref="CS304" si="2904">AY304</f>
        <v>329</v>
      </c>
      <c r="CT304" s="109" t="e">
        <f t="shared" ref="CT304" si="2905">M304-K304</f>
        <v>#VALUE!</v>
      </c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  <c r="VX304" s="12"/>
      <c r="VY304" s="12"/>
      <c r="VZ304" s="12"/>
      <c r="WA304" s="12"/>
      <c r="WB304" s="12"/>
      <c r="WC304" s="12"/>
      <c r="WD304" s="12"/>
      <c r="WE304" s="12"/>
      <c r="WF304" s="12"/>
      <c r="WG304" s="12"/>
      <c r="WH304" s="12"/>
      <c r="WI304" s="12"/>
      <c r="WJ304" s="12"/>
      <c r="WK304" s="12"/>
      <c r="WL304" s="12"/>
      <c r="WM304" s="12"/>
      <c r="WN304" s="12"/>
      <c r="WO304" s="12"/>
      <c r="WP304" s="12"/>
      <c r="WQ304" s="12"/>
      <c r="WR304" s="12"/>
      <c r="WS304" s="12"/>
      <c r="WT304" s="12"/>
      <c r="WU304" s="12"/>
      <c r="WV304" s="12"/>
      <c r="WW304" s="12"/>
      <c r="WX304" s="12"/>
      <c r="WY304" s="12"/>
      <c r="WZ304" s="12"/>
      <c r="XA304" s="12"/>
      <c r="XB304" s="12"/>
      <c r="XC304" s="12"/>
      <c r="XD304" s="12"/>
      <c r="XE304" s="12"/>
      <c r="XF304" s="12"/>
      <c r="XG304" s="12"/>
      <c r="XH304" s="12"/>
      <c r="XI304" s="12"/>
      <c r="XJ304" s="12"/>
      <c r="XK304" s="12"/>
      <c r="XL304" s="12"/>
      <c r="XM304" s="12"/>
      <c r="XN304" s="12"/>
      <c r="XO304" s="12"/>
      <c r="XP304" s="12"/>
      <c r="XQ304" s="12"/>
      <c r="XR304" s="12"/>
      <c r="XS304" s="12"/>
      <c r="XT304" s="12"/>
      <c r="XU304" s="12"/>
      <c r="XV304" s="12"/>
      <c r="XW304" s="12"/>
      <c r="XX304" s="12"/>
      <c r="XY304" s="12"/>
      <c r="XZ304" s="12"/>
      <c r="YA304" s="12"/>
      <c r="YB304" s="12"/>
      <c r="YC304" s="12"/>
      <c r="YD304" s="12"/>
      <c r="YE304" s="12"/>
      <c r="YF304" s="12"/>
      <c r="YG304" s="12"/>
      <c r="YH304" s="12"/>
      <c r="YI304" s="12"/>
      <c r="YJ304" s="12"/>
      <c r="YK304" s="12"/>
      <c r="YL304" s="12"/>
      <c r="YM304" s="12"/>
      <c r="YN304" s="12"/>
      <c r="YO304" s="12"/>
      <c r="YP304" s="12"/>
      <c r="YQ304" s="12"/>
      <c r="YR304" s="12"/>
      <c r="YS304" s="12"/>
      <c r="YT304" s="12"/>
      <c r="YU304" s="12"/>
      <c r="YV304" s="12"/>
      <c r="YW304" s="12"/>
      <c r="YX304" s="12"/>
      <c r="YY304" s="12"/>
      <c r="YZ304" s="12"/>
      <c r="ZA304" s="12"/>
      <c r="ZB304" s="12"/>
      <c r="ZC304" s="12"/>
      <c r="ZD304" s="12"/>
      <c r="ZE304" s="12"/>
      <c r="ZF304" s="12"/>
      <c r="ZG304" s="12"/>
      <c r="ZH304" s="12"/>
      <c r="ZI304" s="12"/>
      <c r="ZJ304" s="12"/>
      <c r="ZK304" s="12"/>
      <c r="ZL304" s="12"/>
      <c r="ZM304" s="12"/>
      <c r="ZN304" s="12"/>
      <c r="ZO304" s="12"/>
      <c r="ZP304" s="12"/>
      <c r="ZQ304" s="12"/>
      <c r="ZR304" s="12"/>
      <c r="ZS304" s="12"/>
      <c r="ZT304" s="12"/>
      <c r="ZU304" s="12"/>
      <c r="ZV304" s="12"/>
      <c r="ZW304" s="12"/>
      <c r="ZX304" s="12"/>
      <c r="ZY304" s="12"/>
      <c r="ZZ304" s="12"/>
      <c r="AAA304" s="12"/>
      <c r="AAB304" s="12"/>
      <c r="AAC304" s="12"/>
      <c r="AAD304" s="12"/>
      <c r="AAE304" s="12"/>
      <c r="AAF304" s="12"/>
      <c r="AAG304" s="12"/>
      <c r="AAH304" s="12"/>
      <c r="AAI304" s="12"/>
      <c r="AAJ304" s="12"/>
      <c r="AAK304" s="12"/>
      <c r="AAL304" s="12"/>
      <c r="AAM304" s="12"/>
      <c r="AAN304" s="12"/>
      <c r="AAO304" s="12"/>
      <c r="AAP304" s="12"/>
      <c r="AAQ304" s="12"/>
      <c r="AAR304" s="12"/>
      <c r="AAS304" s="12"/>
      <c r="AAT304" s="12"/>
      <c r="AAU304" s="12"/>
      <c r="AAV304" s="12"/>
      <c r="AAW304" s="12"/>
      <c r="AAX304" s="12"/>
      <c r="AAY304" s="12"/>
      <c r="AAZ304" s="12"/>
      <c r="ABA304" s="12"/>
      <c r="ABB304" s="12"/>
      <c r="ABC304" s="12"/>
      <c r="ABD304" s="12"/>
      <c r="ABE304" s="12"/>
      <c r="ABF304" s="12"/>
      <c r="ABG304" s="12"/>
      <c r="ABH304" s="12"/>
      <c r="ABI304" s="12"/>
      <c r="ABJ304" s="12"/>
      <c r="ABK304" s="12"/>
      <c r="ABL304" s="12"/>
      <c r="ABM304" s="12"/>
      <c r="ABN304" s="12"/>
      <c r="ABO304" s="12"/>
      <c r="ABP304" s="12"/>
      <c r="ABQ304" s="12"/>
      <c r="ABR304" s="12"/>
      <c r="ABS304" s="12"/>
      <c r="ABT304" s="12"/>
      <c r="ABU304" s="12"/>
      <c r="ABV304" s="12"/>
      <c r="ABW304" s="12"/>
      <c r="ABX304" s="12"/>
      <c r="ABY304" s="12"/>
      <c r="ABZ304" s="12"/>
      <c r="ACA304" s="12"/>
      <c r="ACB304" s="12"/>
      <c r="ACC304" s="12"/>
      <c r="ACD304" s="12"/>
      <c r="ACE304" s="12"/>
      <c r="ACF304" s="12"/>
      <c r="ACG304" s="12"/>
      <c r="ACH304" s="12"/>
      <c r="ACI304" s="12"/>
      <c r="ACJ304" s="12"/>
      <c r="ACK304" s="12"/>
      <c r="ACL304" s="12"/>
      <c r="ACM304" s="12"/>
      <c r="ACN304" s="12"/>
      <c r="ACO304" s="12"/>
      <c r="ACP304" s="12"/>
      <c r="ACQ304" s="12"/>
      <c r="ACR304" s="12"/>
      <c r="ACS304" s="12"/>
      <c r="ACT304" s="12"/>
      <c r="ACU304" s="12"/>
      <c r="ACV304" s="12"/>
      <c r="ACW304" s="12"/>
      <c r="ACX304" s="12"/>
      <c r="ACY304" s="12"/>
      <c r="ACZ304" s="12"/>
      <c r="ADA304" s="12"/>
      <c r="ADB304" s="12"/>
      <c r="ADC304" s="12"/>
      <c r="ADD304" s="12"/>
      <c r="ADE304" s="12"/>
      <c r="ADF304" s="12"/>
      <c r="ADG304" s="12"/>
      <c r="ADH304" s="12"/>
      <c r="ADI304" s="12"/>
      <c r="ADJ304" s="12"/>
      <c r="ADK304" s="12"/>
      <c r="ADL304" s="12"/>
      <c r="ADM304" s="12"/>
      <c r="ADN304" s="12"/>
      <c r="ADO304" s="12"/>
      <c r="ADP304" s="12"/>
      <c r="ADQ304" s="12"/>
      <c r="ADR304" s="12"/>
      <c r="ADS304" s="12"/>
      <c r="ADT304" s="12"/>
      <c r="ADU304" s="12"/>
      <c r="ADV304" s="12"/>
      <c r="ADW304" s="12"/>
      <c r="ADX304" s="12"/>
      <c r="ADY304" s="12"/>
      <c r="ADZ304" s="12"/>
      <c r="AEA304" s="12"/>
      <c r="AEB304" s="12"/>
      <c r="AEC304" s="12"/>
      <c r="AED304" s="12"/>
      <c r="AEE304" s="12"/>
      <c r="AEF304" s="12"/>
      <c r="AEG304" s="12"/>
      <c r="AEH304" s="12"/>
      <c r="AEI304" s="12"/>
      <c r="AEJ304" s="12"/>
      <c r="AEK304" s="12"/>
      <c r="AEL304" s="12"/>
      <c r="AEM304" s="12"/>
      <c r="AEN304" s="12"/>
      <c r="AEO304" s="12"/>
      <c r="AEP304" s="12"/>
      <c r="AEQ304" s="12"/>
      <c r="AER304" s="12"/>
      <c r="AES304" s="12"/>
      <c r="AET304" s="12"/>
      <c r="AEU304" s="12"/>
      <c r="AEV304" s="12"/>
      <c r="AEW304" s="12"/>
      <c r="AEX304" s="12"/>
      <c r="AEY304" s="12"/>
      <c r="AEZ304" s="12"/>
      <c r="AFA304" s="12"/>
      <c r="AFB304" s="12"/>
      <c r="AFC304" s="12"/>
      <c r="AFD304" s="12"/>
      <c r="AFE304" s="12"/>
      <c r="AFF304" s="12"/>
      <c r="AFG304" s="12"/>
      <c r="AFH304" s="12"/>
      <c r="AFI304" s="12"/>
      <c r="AFJ304" s="12"/>
      <c r="AFK304" s="12"/>
      <c r="AFL304" s="12"/>
      <c r="AFM304" s="12"/>
      <c r="AFN304" s="12"/>
      <c r="AFO304" s="12"/>
      <c r="AFP304" s="12"/>
      <c r="AFQ304" s="12"/>
      <c r="AFR304" s="12"/>
      <c r="AFS304" s="12"/>
      <c r="AFT304" s="12"/>
      <c r="AFU304" s="12"/>
      <c r="AFV304" s="12"/>
      <c r="AFW304" s="12"/>
      <c r="AFX304" s="12"/>
      <c r="AFY304" s="12"/>
      <c r="AFZ304" s="12"/>
      <c r="AGA304" s="12"/>
      <c r="AGB304" s="12"/>
      <c r="AGC304" s="12"/>
      <c r="AGD304" s="12"/>
      <c r="AGE304" s="12"/>
      <c r="AGF304" s="12"/>
      <c r="AGG304" s="12"/>
      <c r="AGH304" s="12"/>
      <c r="AGI304" s="12"/>
      <c r="AGJ304" s="12"/>
      <c r="AGK304" s="12"/>
      <c r="AGL304" s="12"/>
      <c r="AGM304" s="12"/>
      <c r="AGN304" s="12"/>
      <c r="AGO304" s="12"/>
      <c r="AGP304" s="12"/>
      <c r="AGQ304" s="12"/>
      <c r="AGR304" s="12"/>
      <c r="AGS304" s="12"/>
      <c r="AGT304" s="12"/>
      <c r="AGU304" s="12"/>
      <c r="AGV304" s="12"/>
      <c r="AGW304" s="12"/>
      <c r="AGX304" s="12"/>
      <c r="AGY304" s="12"/>
      <c r="AGZ304" s="12"/>
      <c r="AHA304" s="12"/>
      <c r="AHB304" s="12"/>
      <c r="AHC304" s="12"/>
      <c r="AHD304" s="12"/>
      <c r="AHE304" s="12"/>
      <c r="AHF304" s="12"/>
      <c r="AHG304" s="12"/>
      <c r="AHH304" s="12"/>
      <c r="AHI304" s="12"/>
      <c r="AHJ304" s="12"/>
      <c r="AHK304" s="12"/>
      <c r="AHL304" s="12"/>
      <c r="AHM304" s="12"/>
      <c r="AHN304" s="12"/>
      <c r="AHO304" s="12"/>
      <c r="AHP304" s="12"/>
      <c r="AHQ304" s="12"/>
      <c r="AHR304" s="12"/>
      <c r="AHS304" s="12"/>
      <c r="AHT304" s="12"/>
      <c r="AHU304" s="12"/>
      <c r="AHV304" s="12"/>
      <c r="AHW304" s="12"/>
      <c r="AHX304" s="12"/>
      <c r="AHY304" s="12"/>
      <c r="AHZ304" s="12"/>
      <c r="AIA304" s="12"/>
      <c r="AIB304" s="12"/>
      <c r="AIC304" s="12"/>
      <c r="AID304" s="12"/>
      <c r="AIE304" s="12"/>
      <c r="AIF304" s="12"/>
      <c r="AIG304" s="12"/>
      <c r="AIH304" s="12"/>
      <c r="AII304" s="12"/>
      <c r="AIJ304" s="12"/>
      <c r="AIK304" s="12"/>
      <c r="AIL304" s="12"/>
      <c r="AIM304" s="12"/>
      <c r="AIN304" s="12"/>
      <c r="AIO304" s="12"/>
      <c r="AIP304" s="12"/>
      <c r="AIQ304" s="12"/>
      <c r="AIR304" s="12"/>
      <c r="AIS304" s="12"/>
      <c r="AIT304" s="12"/>
      <c r="AIU304" s="12"/>
      <c r="AIV304" s="12"/>
      <c r="AIW304" s="12"/>
      <c r="AIX304" s="12"/>
      <c r="AIY304" s="12"/>
      <c r="AIZ304" s="12"/>
      <c r="AJA304" s="12"/>
      <c r="AJB304" s="12"/>
      <c r="AJC304" s="12"/>
      <c r="AJD304" s="12"/>
      <c r="AJE304" s="12"/>
      <c r="AJF304" s="12"/>
      <c r="AJG304" s="12"/>
      <c r="AJH304" s="12"/>
      <c r="AJI304" s="12"/>
      <c r="AJJ304" s="12"/>
      <c r="AJK304" s="12"/>
      <c r="AJL304" s="12"/>
      <c r="AJM304" s="12"/>
      <c r="AJN304" s="12"/>
      <c r="AJO304" s="12"/>
      <c r="AJP304" s="12"/>
      <c r="AJQ304" s="12"/>
      <c r="AJR304" s="12"/>
      <c r="AJS304" s="12"/>
      <c r="AJT304" s="12"/>
      <c r="AJU304" s="12"/>
      <c r="AJV304" s="12"/>
      <c r="AJW304" s="12"/>
      <c r="AJX304" s="12"/>
      <c r="AJY304" s="12"/>
      <c r="AJZ304" s="12"/>
      <c r="AKA304" s="12"/>
      <c r="AKB304" s="12"/>
      <c r="AKC304" s="12"/>
      <c r="AKD304" s="12"/>
      <c r="AKE304" s="12"/>
      <c r="AKF304" s="12"/>
      <c r="AKG304" s="12"/>
      <c r="AKH304" s="12"/>
      <c r="AKI304" s="12"/>
      <c r="AKJ304" s="12"/>
      <c r="AKK304" s="12"/>
      <c r="AKL304" s="12"/>
      <c r="AKM304" s="12"/>
      <c r="AKN304" s="12"/>
      <c r="AKO304" s="12"/>
      <c r="AKP304" s="12"/>
      <c r="AKQ304" s="12"/>
      <c r="AKR304" s="12"/>
      <c r="AKS304" s="12"/>
      <c r="AKT304" s="12"/>
      <c r="AKU304" s="12"/>
      <c r="AKV304" s="12"/>
      <c r="AKW304" s="12"/>
      <c r="AKX304" s="12"/>
      <c r="AKY304" s="12"/>
      <c r="AKZ304" s="12"/>
      <c r="ALA304" s="12"/>
      <c r="ALB304" s="12"/>
      <c r="ALC304" s="12"/>
      <c r="ALD304" s="12"/>
      <c r="ALE304" s="12"/>
      <c r="ALF304" s="12"/>
      <c r="ALG304" s="12"/>
      <c r="ALH304" s="12"/>
      <c r="ALI304" s="12"/>
      <c r="ALJ304" s="12"/>
      <c r="ALK304" s="12"/>
      <c r="ALL304" s="12"/>
      <c r="ALM304" s="12"/>
      <c r="ALN304" s="12"/>
      <c r="ALO304" s="12"/>
      <c r="ALP304" s="12"/>
      <c r="ALQ304" s="12"/>
      <c r="ALR304" s="12"/>
      <c r="ALS304" s="12"/>
      <c r="ALT304" s="12"/>
      <c r="ALU304" s="12"/>
      <c r="ALV304" s="12"/>
      <c r="ALW304" s="12"/>
      <c r="ALX304" s="12"/>
      <c r="ALY304" s="12"/>
      <c r="ALZ304" s="12"/>
      <c r="AMA304" s="12"/>
      <c r="AMB304" s="12"/>
      <c r="AMC304" s="12"/>
      <c r="AMD304" s="12"/>
      <c r="AME304" s="12"/>
      <c r="AMF304" s="12"/>
      <c r="AMG304" s="12"/>
      <c r="AMH304" s="12"/>
      <c r="AMI304" s="12"/>
      <c r="AMJ304" s="12"/>
      <c r="AMK304" s="12"/>
      <c r="AML304" s="12"/>
      <c r="AMM304" s="12"/>
      <c r="AMN304" s="12"/>
      <c r="AMO304" s="12"/>
      <c r="AMP304" s="12"/>
    </row>
    <row r="305" spans="1:1030" s="40" customFormat="1" x14ac:dyDescent="0.2">
      <c r="A305" s="9" t="str">
        <f t="shared" ref="A305" si="2906">CONCATENATE(B305,"_",C305)</f>
        <v>oprd_human_6PT3</v>
      </c>
      <c r="B305" s="12" t="s">
        <v>334</v>
      </c>
      <c r="C305" s="12" t="s">
        <v>1717</v>
      </c>
      <c r="D305" s="9" t="str">
        <f>IFERROR(MID(VLOOKUP($B305,Seqs!$A:$B,2,0),E305,1),"")</f>
        <v>S</v>
      </c>
      <c r="E305" s="9">
        <v>45</v>
      </c>
      <c r="F305" s="9" t="str">
        <f>IFERROR(MID(VLOOKUP($B305,Seqs!$A:$B,2,0),G305,1),"")</f>
        <v>Y</v>
      </c>
      <c r="G305" s="9">
        <v>77</v>
      </c>
      <c r="H305" s="9" t="str">
        <f>IFERROR(MID(VLOOKUP($B305,Seqs!$A:$B,2,0),I305,1),"")</f>
        <v/>
      </c>
      <c r="I305" s="109" t="s">
        <v>23</v>
      </c>
      <c r="J305" s="9" t="str">
        <f>IFERROR(MID(VLOOKUP($B305,Seqs!$A:$B,2,0),K305,1),"")</f>
        <v/>
      </c>
      <c r="K305" s="109" t="s">
        <v>23</v>
      </c>
      <c r="L305" s="9" t="str">
        <f>IFERROR(MID(VLOOKUP($B305,Seqs!$A:$B,2,0),M305,1),"")</f>
        <v>T</v>
      </c>
      <c r="M305" s="9">
        <v>82</v>
      </c>
      <c r="N305" s="9" t="str">
        <f>IFERROR(MID(VLOOKUP($B305,Seqs!$A:$B,2,0),O305,1),"")</f>
        <v>E</v>
      </c>
      <c r="O305" s="9">
        <v>112</v>
      </c>
      <c r="P305" s="9" t="str">
        <f>IFERROR(MID(VLOOKUP($B305,Seqs!$A:$B,2,0),Q305,1),"")</f>
        <v>T</v>
      </c>
      <c r="Q305" s="9">
        <v>113</v>
      </c>
      <c r="R305" s="9" t="str">
        <f>IFERROR(MID(VLOOKUP($B305,Seqs!$A:$B,2,0),S305,1),"")</f>
        <v>F</v>
      </c>
      <c r="S305" s="9">
        <v>116</v>
      </c>
      <c r="T305" s="9" t="str">
        <f>IFERROR(MID(VLOOKUP($B305,Seqs!$A:$B,2,0),U305,1),"")</f>
        <v>G</v>
      </c>
      <c r="U305" s="9">
        <v>117</v>
      </c>
      <c r="V305" s="9" t="str">
        <f>IFERROR(MID(VLOOKUP($B305,Seqs!$A:$B,2,0),W305,1),"")</f>
        <v>H</v>
      </c>
      <c r="W305" s="9">
        <v>152</v>
      </c>
      <c r="X305" s="9" t="str">
        <f>IFERROR(MID(VLOOKUP($B305,Seqs!$A:$B,2,0),Y305,1),"")</f>
        <v>P</v>
      </c>
      <c r="Y305" s="9">
        <v>153</v>
      </c>
      <c r="Z305" s="9" t="str">
        <f>IFERROR(MID(VLOOKUP($B305,Seqs!$A:$B,2,0),AA305,1),"")</f>
        <v>R</v>
      </c>
      <c r="AA305" s="9">
        <v>160</v>
      </c>
      <c r="AB305" s="9" t="str">
        <f>IFERROR(MID(VLOOKUP($B305,Seqs!$A:$B,2,0),AC305,1),"")</f>
        <v>T</v>
      </c>
      <c r="AC305" s="9">
        <v>161</v>
      </c>
      <c r="AD305" s="9" t="str">
        <f>IFERROR(MID(VLOOKUP($B305,Seqs!$A:$B,2,0),AE305,1),"")</f>
        <v>A</v>
      </c>
      <c r="AE305" s="9">
        <v>187</v>
      </c>
      <c r="AF305" s="9" t="str">
        <f>IFERROR(MID(VLOOKUP($B305,Seqs!$A:$B,2,0),AG305,1),"")</f>
        <v>C</v>
      </c>
      <c r="AG305" s="9">
        <v>198</v>
      </c>
      <c r="AH305" s="9" t="str">
        <f>IFERROR(MID(VLOOKUP($B305,Seqs!$A:$B,2,0),AI305,1),"")</f>
        <v>L</v>
      </c>
      <c r="AI305" s="9">
        <v>200</v>
      </c>
      <c r="AJ305" s="9" t="str">
        <f>IFERROR(MID(VLOOKUP($B305,Seqs!$A:$B,2,0),AK305,1),"")</f>
        <v>P</v>
      </c>
      <c r="AK305" s="9">
        <v>205</v>
      </c>
      <c r="AL305" s="9" t="str">
        <f>IFERROR(MID(VLOOKUP($B305,Seqs!$A:$B,2,0),AM305,1),"")</f>
        <v>S</v>
      </c>
      <c r="AM305" s="9">
        <v>247</v>
      </c>
      <c r="AN305" s="9" t="str">
        <f>IFERROR(MID(VLOOKUP($B305,Seqs!$A:$B,2,0),AO305,1),"")</f>
        <v>K</v>
      </c>
      <c r="AO305" s="9">
        <v>250</v>
      </c>
      <c r="AP305" s="9" t="str">
        <f>IFERROR(MID(VLOOKUP($B305,Seqs!$A:$B,2,0),AQ305,1),"")</f>
        <v>V</v>
      </c>
      <c r="AQ305" s="9">
        <v>287</v>
      </c>
      <c r="AR305" s="9" t="str">
        <f>IFERROR(MID(VLOOKUP($B305,Seqs!$A:$B,2,0),AS305,1),"")</f>
        <v>D</v>
      </c>
      <c r="AS305" s="9">
        <v>293</v>
      </c>
      <c r="AT305" s="9" t="str">
        <f>IFERROR(MID(VLOOKUP($B305,Seqs!$A:$B,2,0),AU305,1),"")</f>
        <v>L</v>
      </c>
      <c r="AU305" s="9">
        <v>321</v>
      </c>
      <c r="AV305" s="9" t="str">
        <f>IFERROR(MID(VLOOKUP($B305,Seqs!$A:$B,2,0),AW305,1),"")</f>
        <v>D</v>
      </c>
      <c r="AW305" s="9">
        <v>322</v>
      </c>
      <c r="AX305" s="9" t="str">
        <f>IFERROR(MID(VLOOKUP($B305,Seqs!$A:$B,2,0),AY305,1),"")</f>
        <v>F</v>
      </c>
      <c r="AY305" s="9">
        <v>329</v>
      </c>
      <c r="AZ305" s="110" t="str">
        <f>VLOOKUP(B305,Classification!A:D,2,0)</f>
        <v>A</v>
      </c>
      <c r="BA305" s="98" t="str">
        <f>VLOOKUP(B305,Classification!A:D,4,0)</f>
        <v>Opioid</v>
      </c>
      <c r="BB305" s="36" t="b">
        <f t="shared" ref="BB305" si="2907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109">
        <f t="shared" ref="BC305" si="2908">_xlfn.AGGREGATE(9,6,CH305:CS305)-_xlfn.AGGREGATE(9,6,BV305:CG305)+12</f>
        <v>261</v>
      </c>
      <c r="BD305" s="125" t="s">
        <v>23</v>
      </c>
      <c r="BE305" s="9" t="s">
        <v>1424</v>
      </c>
      <c r="BF305" s="119">
        <v>3.3</v>
      </c>
      <c r="BG305" s="51" t="s">
        <v>1</v>
      </c>
      <c r="BH305" s="51" t="s">
        <v>1</v>
      </c>
      <c r="BI305" s="9"/>
      <c r="BJ305" s="111" t="s">
        <v>1283</v>
      </c>
      <c r="BK305" s="112" t="s">
        <v>1283</v>
      </c>
      <c r="BL305" s="112" t="s">
        <v>1283</v>
      </c>
      <c r="BM305" s="112" t="s">
        <v>1283</v>
      </c>
      <c r="BN305" s="112" t="s">
        <v>1283</v>
      </c>
      <c r="BO305" s="112" t="s">
        <v>1283</v>
      </c>
      <c r="BP305" s="112" t="s">
        <v>1283</v>
      </c>
      <c r="BQ305" s="112" t="s">
        <v>1283</v>
      </c>
      <c r="BR305" s="112" t="s">
        <v>1283</v>
      </c>
      <c r="BS305" s="112" t="s">
        <v>1283</v>
      </c>
      <c r="BT305" s="112" t="s">
        <v>1283</v>
      </c>
      <c r="BU305" s="112" t="s">
        <v>1283</v>
      </c>
      <c r="BV305" s="111">
        <f t="shared" ref="BV305" si="2909">E305</f>
        <v>45</v>
      </c>
      <c r="BW305" s="113" t="str">
        <f t="shared" ref="BW305" si="2910">I305</f>
        <v>-</v>
      </c>
      <c r="BX305" s="114">
        <f t="shared" ref="BX305" si="2911">M305</f>
        <v>82</v>
      </c>
      <c r="BY305" s="113">
        <f t="shared" ref="BY305" si="2912">Q305</f>
        <v>113</v>
      </c>
      <c r="BZ305" s="114">
        <f t="shared" ref="BZ305" si="2913">U305</f>
        <v>117</v>
      </c>
      <c r="CA305" s="113">
        <f t="shared" ref="CA305" si="2914">Y305</f>
        <v>153</v>
      </c>
      <c r="CB305" s="114">
        <f t="shared" ref="CB305" si="2915">AC305</f>
        <v>161</v>
      </c>
      <c r="CC305" s="113">
        <f t="shared" ref="CC305" si="2916">AG305</f>
        <v>198</v>
      </c>
      <c r="CD305" s="114">
        <f t="shared" ref="CD305" si="2917">AK305</f>
        <v>205</v>
      </c>
      <c r="CE305" s="113">
        <f t="shared" ref="CE305" si="2918">AO305</f>
        <v>250</v>
      </c>
      <c r="CF305" s="114">
        <f t="shared" ref="CF305" si="2919">AS305</f>
        <v>293</v>
      </c>
      <c r="CG305" s="113">
        <f t="shared" ref="CG305" si="2920">AW305</f>
        <v>322</v>
      </c>
      <c r="CH305" s="111">
        <f t="shared" ref="CH305" si="2921">G305</f>
        <v>77</v>
      </c>
      <c r="CI305" s="113" t="str">
        <f t="shared" ref="CI305" si="2922">K305</f>
        <v>-</v>
      </c>
      <c r="CJ305" s="114">
        <f t="shared" ref="CJ305" si="2923">O305</f>
        <v>112</v>
      </c>
      <c r="CK305" s="114">
        <f t="shared" ref="CK305" si="2924">S305</f>
        <v>116</v>
      </c>
      <c r="CL305" s="114">
        <f t="shared" ref="CL305" si="2925">W305</f>
        <v>152</v>
      </c>
      <c r="CM305" s="114">
        <f t="shared" ref="CM305" si="2926">AA305</f>
        <v>160</v>
      </c>
      <c r="CN305" s="114">
        <f t="shared" ref="CN305" si="2927">AE305</f>
        <v>187</v>
      </c>
      <c r="CO305" s="114">
        <f t="shared" ref="CO305" si="2928">AI305</f>
        <v>200</v>
      </c>
      <c r="CP305" s="114">
        <f t="shared" ref="CP305" si="2929">AM305</f>
        <v>247</v>
      </c>
      <c r="CQ305" s="114">
        <f t="shared" ref="CQ305" si="2930">AQ305</f>
        <v>287</v>
      </c>
      <c r="CR305" s="114">
        <f t="shared" ref="CR305" si="2931">AU305</f>
        <v>321</v>
      </c>
      <c r="CS305" s="114">
        <f t="shared" ref="CS305" si="2932">AY305</f>
        <v>329</v>
      </c>
      <c r="CT305" s="109" t="e">
        <f t="shared" ref="CT305" si="2933">M305-K305</f>
        <v>#VALUE!</v>
      </c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  <c r="VX305" s="12"/>
      <c r="VY305" s="12"/>
      <c r="VZ305" s="12"/>
      <c r="WA305" s="12"/>
      <c r="WB305" s="12"/>
      <c r="WC305" s="12"/>
      <c r="WD305" s="12"/>
      <c r="WE305" s="12"/>
      <c r="WF305" s="12"/>
      <c r="WG305" s="12"/>
      <c r="WH305" s="12"/>
      <c r="WI305" s="12"/>
      <c r="WJ305" s="12"/>
      <c r="WK305" s="12"/>
      <c r="WL305" s="12"/>
      <c r="WM305" s="12"/>
      <c r="WN305" s="12"/>
      <c r="WO305" s="12"/>
      <c r="WP305" s="12"/>
      <c r="WQ305" s="12"/>
      <c r="WR305" s="12"/>
      <c r="WS305" s="12"/>
      <c r="WT305" s="12"/>
      <c r="WU305" s="12"/>
      <c r="WV305" s="12"/>
      <c r="WW305" s="12"/>
      <c r="WX305" s="12"/>
      <c r="WY305" s="12"/>
      <c r="WZ305" s="12"/>
      <c r="XA305" s="12"/>
      <c r="XB305" s="12"/>
      <c r="XC305" s="12"/>
      <c r="XD305" s="12"/>
      <c r="XE305" s="12"/>
      <c r="XF305" s="12"/>
      <c r="XG305" s="12"/>
      <c r="XH305" s="12"/>
      <c r="XI305" s="12"/>
      <c r="XJ305" s="12"/>
      <c r="XK305" s="12"/>
      <c r="XL305" s="12"/>
      <c r="XM305" s="12"/>
      <c r="XN305" s="12"/>
      <c r="XO305" s="12"/>
      <c r="XP305" s="12"/>
      <c r="XQ305" s="12"/>
      <c r="XR305" s="12"/>
      <c r="XS305" s="12"/>
      <c r="XT305" s="12"/>
      <c r="XU305" s="12"/>
      <c r="XV305" s="12"/>
      <c r="XW305" s="12"/>
      <c r="XX305" s="12"/>
      <c r="XY305" s="12"/>
      <c r="XZ305" s="12"/>
      <c r="YA305" s="12"/>
      <c r="YB305" s="12"/>
      <c r="YC305" s="12"/>
      <c r="YD305" s="12"/>
      <c r="YE305" s="12"/>
      <c r="YF305" s="12"/>
      <c r="YG305" s="12"/>
      <c r="YH305" s="12"/>
      <c r="YI305" s="12"/>
      <c r="YJ305" s="12"/>
      <c r="YK305" s="12"/>
      <c r="YL305" s="12"/>
      <c r="YM305" s="12"/>
      <c r="YN305" s="12"/>
      <c r="YO305" s="12"/>
      <c r="YP305" s="12"/>
      <c r="YQ305" s="12"/>
      <c r="YR305" s="12"/>
      <c r="YS305" s="12"/>
      <c r="YT305" s="12"/>
      <c r="YU305" s="12"/>
      <c r="YV305" s="12"/>
      <c r="YW305" s="12"/>
      <c r="YX305" s="12"/>
      <c r="YY305" s="12"/>
      <c r="YZ305" s="12"/>
      <c r="ZA305" s="12"/>
      <c r="ZB305" s="12"/>
      <c r="ZC305" s="12"/>
      <c r="ZD305" s="12"/>
      <c r="ZE305" s="12"/>
      <c r="ZF305" s="12"/>
      <c r="ZG305" s="12"/>
      <c r="ZH305" s="12"/>
      <c r="ZI305" s="12"/>
      <c r="ZJ305" s="12"/>
      <c r="ZK305" s="12"/>
      <c r="ZL305" s="12"/>
      <c r="ZM305" s="12"/>
      <c r="ZN305" s="12"/>
      <c r="ZO305" s="12"/>
      <c r="ZP305" s="12"/>
      <c r="ZQ305" s="12"/>
      <c r="ZR305" s="12"/>
      <c r="ZS305" s="12"/>
      <c r="ZT305" s="12"/>
      <c r="ZU305" s="12"/>
      <c r="ZV305" s="12"/>
      <c r="ZW305" s="12"/>
      <c r="ZX305" s="12"/>
      <c r="ZY305" s="12"/>
      <c r="ZZ305" s="12"/>
      <c r="AAA305" s="12"/>
      <c r="AAB305" s="12"/>
      <c r="AAC305" s="12"/>
      <c r="AAD305" s="12"/>
      <c r="AAE305" s="12"/>
      <c r="AAF305" s="12"/>
      <c r="AAG305" s="12"/>
      <c r="AAH305" s="12"/>
      <c r="AAI305" s="12"/>
      <c r="AAJ305" s="12"/>
      <c r="AAK305" s="12"/>
      <c r="AAL305" s="12"/>
      <c r="AAM305" s="12"/>
      <c r="AAN305" s="12"/>
      <c r="AAO305" s="12"/>
      <c r="AAP305" s="12"/>
      <c r="AAQ305" s="12"/>
      <c r="AAR305" s="12"/>
      <c r="AAS305" s="12"/>
      <c r="AAT305" s="12"/>
      <c r="AAU305" s="12"/>
      <c r="AAV305" s="12"/>
      <c r="AAW305" s="12"/>
      <c r="AAX305" s="12"/>
      <c r="AAY305" s="12"/>
      <c r="AAZ305" s="12"/>
      <c r="ABA305" s="12"/>
      <c r="ABB305" s="12"/>
      <c r="ABC305" s="12"/>
      <c r="ABD305" s="12"/>
      <c r="ABE305" s="12"/>
      <c r="ABF305" s="12"/>
      <c r="ABG305" s="12"/>
      <c r="ABH305" s="12"/>
      <c r="ABI305" s="12"/>
      <c r="ABJ305" s="12"/>
      <c r="ABK305" s="12"/>
      <c r="ABL305" s="12"/>
      <c r="ABM305" s="12"/>
      <c r="ABN305" s="12"/>
      <c r="ABO305" s="12"/>
      <c r="ABP305" s="12"/>
      <c r="ABQ305" s="12"/>
      <c r="ABR305" s="12"/>
      <c r="ABS305" s="12"/>
      <c r="ABT305" s="12"/>
      <c r="ABU305" s="12"/>
      <c r="ABV305" s="12"/>
      <c r="ABW305" s="12"/>
      <c r="ABX305" s="12"/>
      <c r="ABY305" s="12"/>
      <c r="ABZ305" s="12"/>
      <c r="ACA305" s="12"/>
      <c r="ACB305" s="12"/>
      <c r="ACC305" s="12"/>
      <c r="ACD305" s="12"/>
      <c r="ACE305" s="12"/>
      <c r="ACF305" s="12"/>
      <c r="ACG305" s="12"/>
      <c r="ACH305" s="12"/>
      <c r="ACI305" s="12"/>
      <c r="ACJ305" s="12"/>
      <c r="ACK305" s="12"/>
      <c r="ACL305" s="12"/>
      <c r="ACM305" s="12"/>
      <c r="ACN305" s="12"/>
      <c r="ACO305" s="12"/>
      <c r="ACP305" s="12"/>
      <c r="ACQ305" s="12"/>
      <c r="ACR305" s="12"/>
      <c r="ACS305" s="12"/>
      <c r="ACT305" s="12"/>
      <c r="ACU305" s="12"/>
      <c r="ACV305" s="12"/>
      <c r="ACW305" s="12"/>
      <c r="ACX305" s="12"/>
      <c r="ACY305" s="12"/>
      <c r="ACZ305" s="12"/>
      <c r="ADA305" s="12"/>
      <c r="ADB305" s="12"/>
      <c r="ADC305" s="12"/>
      <c r="ADD305" s="12"/>
      <c r="ADE305" s="12"/>
      <c r="ADF305" s="12"/>
      <c r="ADG305" s="12"/>
      <c r="ADH305" s="12"/>
      <c r="ADI305" s="12"/>
      <c r="ADJ305" s="12"/>
      <c r="ADK305" s="12"/>
      <c r="ADL305" s="12"/>
      <c r="ADM305" s="12"/>
      <c r="ADN305" s="12"/>
      <c r="ADO305" s="12"/>
      <c r="ADP305" s="12"/>
      <c r="ADQ305" s="12"/>
      <c r="ADR305" s="12"/>
      <c r="ADS305" s="12"/>
      <c r="ADT305" s="12"/>
      <c r="ADU305" s="12"/>
      <c r="ADV305" s="12"/>
      <c r="ADW305" s="12"/>
      <c r="ADX305" s="12"/>
      <c r="ADY305" s="12"/>
      <c r="ADZ305" s="12"/>
      <c r="AEA305" s="12"/>
      <c r="AEB305" s="12"/>
      <c r="AEC305" s="12"/>
      <c r="AED305" s="12"/>
      <c r="AEE305" s="12"/>
      <c r="AEF305" s="12"/>
      <c r="AEG305" s="12"/>
      <c r="AEH305" s="12"/>
      <c r="AEI305" s="12"/>
      <c r="AEJ305" s="12"/>
      <c r="AEK305" s="12"/>
      <c r="AEL305" s="12"/>
      <c r="AEM305" s="12"/>
      <c r="AEN305" s="12"/>
      <c r="AEO305" s="12"/>
      <c r="AEP305" s="12"/>
      <c r="AEQ305" s="12"/>
      <c r="AER305" s="12"/>
      <c r="AES305" s="12"/>
      <c r="AET305" s="12"/>
      <c r="AEU305" s="12"/>
      <c r="AEV305" s="12"/>
      <c r="AEW305" s="12"/>
      <c r="AEX305" s="12"/>
      <c r="AEY305" s="12"/>
      <c r="AEZ305" s="12"/>
      <c r="AFA305" s="12"/>
      <c r="AFB305" s="12"/>
      <c r="AFC305" s="12"/>
      <c r="AFD305" s="12"/>
      <c r="AFE305" s="12"/>
      <c r="AFF305" s="12"/>
      <c r="AFG305" s="12"/>
      <c r="AFH305" s="12"/>
      <c r="AFI305" s="12"/>
      <c r="AFJ305" s="12"/>
      <c r="AFK305" s="12"/>
      <c r="AFL305" s="12"/>
      <c r="AFM305" s="12"/>
      <c r="AFN305" s="12"/>
      <c r="AFO305" s="12"/>
      <c r="AFP305" s="12"/>
      <c r="AFQ305" s="12"/>
      <c r="AFR305" s="12"/>
      <c r="AFS305" s="12"/>
      <c r="AFT305" s="12"/>
      <c r="AFU305" s="12"/>
      <c r="AFV305" s="12"/>
      <c r="AFW305" s="12"/>
      <c r="AFX305" s="12"/>
      <c r="AFY305" s="12"/>
      <c r="AFZ305" s="12"/>
      <c r="AGA305" s="12"/>
      <c r="AGB305" s="12"/>
      <c r="AGC305" s="12"/>
      <c r="AGD305" s="12"/>
      <c r="AGE305" s="12"/>
      <c r="AGF305" s="12"/>
      <c r="AGG305" s="12"/>
      <c r="AGH305" s="12"/>
      <c r="AGI305" s="12"/>
      <c r="AGJ305" s="12"/>
      <c r="AGK305" s="12"/>
      <c r="AGL305" s="12"/>
      <c r="AGM305" s="12"/>
      <c r="AGN305" s="12"/>
      <c r="AGO305" s="12"/>
      <c r="AGP305" s="12"/>
      <c r="AGQ305" s="12"/>
      <c r="AGR305" s="12"/>
      <c r="AGS305" s="12"/>
      <c r="AGT305" s="12"/>
      <c r="AGU305" s="12"/>
      <c r="AGV305" s="12"/>
      <c r="AGW305" s="12"/>
      <c r="AGX305" s="12"/>
      <c r="AGY305" s="12"/>
      <c r="AGZ305" s="12"/>
      <c r="AHA305" s="12"/>
      <c r="AHB305" s="12"/>
      <c r="AHC305" s="12"/>
      <c r="AHD305" s="12"/>
      <c r="AHE305" s="12"/>
      <c r="AHF305" s="12"/>
      <c r="AHG305" s="12"/>
      <c r="AHH305" s="12"/>
      <c r="AHI305" s="12"/>
      <c r="AHJ305" s="12"/>
      <c r="AHK305" s="12"/>
      <c r="AHL305" s="12"/>
      <c r="AHM305" s="12"/>
      <c r="AHN305" s="12"/>
      <c r="AHO305" s="12"/>
      <c r="AHP305" s="12"/>
      <c r="AHQ305" s="12"/>
      <c r="AHR305" s="12"/>
      <c r="AHS305" s="12"/>
      <c r="AHT305" s="12"/>
      <c r="AHU305" s="12"/>
      <c r="AHV305" s="12"/>
      <c r="AHW305" s="12"/>
      <c r="AHX305" s="12"/>
      <c r="AHY305" s="12"/>
      <c r="AHZ305" s="12"/>
      <c r="AIA305" s="12"/>
      <c r="AIB305" s="12"/>
      <c r="AIC305" s="12"/>
      <c r="AID305" s="12"/>
      <c r="AIE305" s="12"/>
      <c r="AIF305" s="12"/>
      <c r="AIG305" s="12"/>
      <c r="AIH305" s="12"/>
      <c r="AII305" s="12"/>
      <c r="AIJ305" s="12"/>
      <c r="AIK305" s="12"/>
      <c r="AIL305" s="12"/>
      <c r="AIM305" s="12"/>
      <c r="AIN305" s="12"/>
      <c r="AIO305" s="12"/>
      <c r="AIP305" s="12"/>
      <c r="AIQ305" s="12"/>
      <c r="AIR305" s="12"/>
      <c r="AIS305" s="12"/>
      <c r="AIT305" s="12"/>
      <c r="AIU305" s="12"/>
      <c r="AIV305" s="12"/>
      <c r="AIW305" s="12"/>
      <c r="AIX305" s="12"/>
      <c r="AIY305" s="12"/>
      <c r="AIZ305" s="12"/>
      <c r="AJA305" s="12"/>
      <c r="AJB305" s="12"/>
      <c r="AJC305" s="12"/>
      <c r="AJD305" s="12"/>
      <c r="AJE305" s="12"/>
      <c r="AJF305" s="12"/>
      <c r="AJG305" s="12"/>
      <c r="AJH305" s="12"/>
      <c r="AJI305" s="12"/>
      <c r="AJJ305" s="12"/>
      <c r="AJK305" s="12"/>
      <c r="AJL305" s="12"/>
      <c r="AJM305" s="12"/>
      <c r="AJN305" s="12"/>
      <c r="AJO305" s="12"/>
      <c r="AJP305" s="12"/>
      <c r="AJQ305" s="12"/>
      <c r="AJR305" s="12"/>
      <c r="AJS305" s="12"/>
      <c r="AJT305" s="12"/>
      <c r="AJU305" s="12"/>
      <c r="AJV305" s="12"/>
      <c r="AJW305" s="12"/>
      <c r="AJX305" s="12"/>
      <c r="AJY305" s="12"/>
      <c r="AJZ305" s="12"/>
      <c r="AKA305" s="12"/>
      <c r="AKB305" s="12"/>
      <c r="AKC305" s="12"/>
      <c r="AKD305" s="12"/>
      <c r="AKE305" s="12"/>
      <c r="AKF305" s="12"/>
      <c r="AKG305" s="12"/>
      <c r="AKH305" s="12"/>
      <c r="AKI305" s="12"/>
      <c r="AKJ305" s="12"/>
      <c r="AKK305" s="12"/>
      <c r="AKL305" s="12"/>
      <c r="AKM305" s="12"/>
      <c r="AKN305" s="12"/>
      <c r="AKO305" s="12"/>
      <c r="AKP305" s="12"/>
      <c r="AKQ305" s="12"/>
      <c r="AKR305" s="12"/>
      <c r="AKS305" s="12"/>
      <c r="AKT305" s="12"/>
      <c r="AKU305" s="12"/>
      <c r="AKV305" s="12"/>
      <c r="AKW305" s="12"/>
      <c r="AKX305" s="12"/>
      <c r="AKY305" s="12"/>
      <c r="AKZ305" s="12"/>
      <c r="ALA305" s="12"/>
      <c r="ALB305" s="12"/>
      <c r="ALC305" s="12"/>
      <c r="ALD305" s="12"/>
      <c r="ALE305" s="12"/>
      <c r="ALF305" s="12"/>
      <c r="ALG305" s="12"/>
      <c r="ALH305" s="12"/>
      <c r="ALI305" s="12"/>
      <c r="ALJ305" s="12"/>
      <c r="ALK305" s="12"/>
      <c r="ALL305" s="12"/>
      <c r="ALM305" s="12"/>
      <c r="ALN305" s="12"/>
      <c r="ALO305" s="12"/>
      <c r="ALP305" s="12"/>
      <c r="ALQ305" s="12"/>
      <c r="ALR305" s="12"/>
      <c r="ALS305" s="12"/>
      <c r="ALT305" s="12"/>
      <c r="ALU305" s="12"/>
      <c r="ALV305" s="12"/>
      <c r="ALW305" s="12"/>
      <c r="ALX305" s="12"/>
      <c r="ALY305" s="12"/>
      <c r="ALZ305" s="12"/>
      <c r="AMA305" s="12"/>
      <c r="AMB305" s="12"/>
      <c r="AMC305" s="12"/>
      <c r="AMD305" s="12"/>
      <c r="AME305" s="12"/>
      <c r="AMF305" s="12"/>
      <c r="AMG305" s="12"/>
      <c r="AMH305" s="12"/>
      <c r="AMI305" s="12"/>
      <c r="AMJ305" s="12"/>
      <c r="AMK305" s="12"/>
      <c r="AML305" s="12"/>
      <c r="AMM305" s="12"/>
      <c r="AMN305" s="12"/>
      <c r="AMO305" s="12"/>
      <c r="AMP305" s="12"/>
    </row>
    <row r="306" spans="1:1030" s="2" customFormat="1" x14ac:dyDescent="0.2">
      <c r="A306" s="3" t="str">
        <f t="shared" si="2290"/>
        <v>oprd_mouse__wt</v>
      </c>
      <c r="B306" s="3" t="s">
        <v>911</v>
      </c>
      <c r="C306" s="3" t="s">
        <v>100</v>
      </c>
      <c r="D306" s="3" t="str">
        <f>IFERROR(MID(VLOOKUP($B306,Seqs!$A:$B,2,0),E306,1),"")</f>
        <v>R</v>
      </c>
      <c r="E306" s="3">
        <v>41</v>
      </c>
      <c r="F306" s="3" t="str">
        <f>IFERROR(MID(VLOOKUP($B306,Seqs!$A:$B,2,0),G306,1),"")</f>
        <v>Y</v>
      </c>
      <c r="G306" s="3">
        <v>77</v>
      </c>
      <c r="H306" s="3" t="str">
        <f>IFERROR(MID(VLOOKUP($B306,Seqs!$A:$B,2,0),I306,1),"")</f>
        <v>T</v>
      </c>
      <c r="I306" s="23">
        <v>78</v>
      </c>
      <c r="J306" s="3" t="str">
        <f>IFERROR(MID(VLOOKUP($B306,Seqs!$A:$B,2,0),K306,1),"")</f>
        <v>K</v>
      </c>
      <c r="K306" s="23">
        <v>81</v>
      </c>
      <c r="L306" s="3" t="str">
        <f>IFERROR(MID(VLOOKUP($B306,Seqs!$A:$B,2,0),M306,1),"")</f>
        <v>T</v>
      </c>
      <c r="M306" s="3">
        <v>82</v>
      </c>
      <c r="N306" s="3" t="str">
        <f>IFERROR(MID(VLOOKUP($B306,Seqs!$A:$B,2,0),O306,1),"")</f>
        <v>E</v>
      </c>
      <c r="O306" s="105">
        <v>112</v>
      </c>
      <c r="P306" s="3" t="str">
        <f>IFERROR(MID(VLOOKUP($B306,Seqs!$A:$B,2,0),Q306,1),"")</f>
        <v>T</v>
      </c>
      <c r="Q306" s="3">
        <v>113</v>
      </c>
      <c r="R306" s="3" t="str">
        <f>IFERROR(MID(VLOOKUP($B306,Seqs!$A:$B,2,0),S306,1),"")</f>
        <v>F</v>
      </c>
      <c r="S306" s="3">
        <v>116</v>
      </c>
      <c r="T306" s="3" t="str">
        <f>IFERROR(MID(VLOOKUP($B306,Seqs!$A:$B,2,0),U306,1),"")</f>
        <v>G</v>
      </c>
      <c r="U306" s="3">
        <v>117</v>
      </c>
      <c r="V306" s="3" t="str">
        <f>IFERROR(MID(VLOOKUP($B306,Seqs!$A:$B,2,0),W306,1),"")</f>
        <v>H</v>
      </c>
      <c r="W306" s="3">
        <v>152</v>
      </c>
      <c r="X306" s="3" t="str">
        <f>IFERROR(MID(VLOOKUP($B306,Seqs!$A:$B,2,0),Y306,1),"")</f>
        <v>P</v>
      </c>
      <c r="Y306" s="3">
        <v>153</v>
      </c>
      <c r="Z306" s="3" t="str">
        <f>IFERROR(MID(VLOOKUP($B306,Seqs!$A:$B,2,0),AA306,1),"")</f>
        <v>R</v>
      </c>
      <c r="AA306" s="3">
        <v>160</v>
      </c>
      <c r="AB306" s="3" t="str">
        <f>IFERROR(MID(VLOOKUP($B306,Seqs!$A:$B,2,0),AC306,1),"")</f>
        <v>T</v>
      </c>
      <c r="AC306" s="3">
        <v>161</v>
      </c>
      <c r="AD306" s="3" t="str">
        <f>IFERROR(MID(VLOOKUP($B306,Seqs!$A:$B,2,0),AE306,1),"")</f>
        <v>A</v>
      </c>
      <c r="AE306" s="3">
        <v>187</v>
      </c>
      <c r="AF306" s="3" t="str">
        <f>IFERROR(MID(VLOOKUP($B306,Seqs!$A:$B,2,0),AG306,1),"")</f>
        <v>C</v>
      </c>
      <c r="AG306" s="3">
        <v>198</v>
      </c>
      <c r="AH306" s="3" t="str">
        <f>IFERROR(MID(VLOOKUP($B306,Seqs!$A:$B,2,0),AI306,1),"")</f>
        <v>L</v>
      </c>
      <c r="AI306" s="3">
        <v>200</v>
      </c>
      <c r="AJ306" s="3" t="str">
        <f>IFERROR(MID(VLOOKUP($B306,Seqs!$A:$B,2,0),AK306,1),"")</f>
        <v>P</v>
      </c>
      <c r="AK306" s="105">
        <v>205</v>
      </c>
      <c r="AL306" s="3" t="str">
        <f>IFERROR(MID(VLOOKUP($B306,Seqs!$A:$B,2,0),AM306,1),"")</f>
        <v>V</v>
      </c>
      <c r="AM306" s="3">
        <v>243</v>
      </c>
      <c r="AN306" s="3" t="str">
        <f>IFERROR(MID(VLOOKUP($B306,Seqs!$A:$B,2,0),AO306,1),"")</f>
        <v>S</v>
      </c>
      <c r="AO306" s="3">
        <v>249</v>
      </c>
      <c r="AP306" s="3" t="str">
        <f>IFERROR(MID(VLOOKUP($B306,Seqs!$A:$B,2,0),AQ306,1),"")</f>
        <v>V</v>
      </c>
      <c r="AQ306" s="3">
        <v>287</v>
      </c>
      <c r="AR306" s="3" t="str">
        <f>IFERROR(MID(VLOOKUP($B306,Seqs!$A:$B,2,0),AS306,1),"")</f>
        <v>D</v>
      </c>
      <c r="AS306" s="3">
        <v>293</v>
      </c>
      <c r="AT306" s="3" t="str">
        <f>IFERROR(MID(VLOOKUP($B306,Seqs!$A:$B,2,0),AU306,1),"")</f>
        <v>L</v>
      </c>
      <c r="AU306" s="3">
        <v>321</v>
      </c>
      <c r="AV306" s="3" t="str">
        <f>IFERROR(MID(VLOOKUP($B306,Seqs!$A:$B,2,0),AW306,1),"")</f>
        <v>D</v>
      </c>
      <c r="AW306" s="3">
        <v>322</v>
      </c>
      <c r="AX306" s="3" t="str">
        <f>IFERROR(MID(VLOOKUP($B306,Seqs!$A:$B,2,0),AY306,1),"")</f>
        <v>T</v>
      </c>
      <c r="AY306" s="3">
        <v>335</v>
      </c>
      <c r="AZ306" s="77" t="str">
        <f>VLOOKUP(B306,Classification!A:D,2,0)</f>
        <v>A</v>
      </c>
      <c r="BA306" s="94" t="str">
        <f>VLOOKUP(B306,Classification!A:D,4,0)</f>
        <v>Opioid</v>
      </c>
      <c r="BB306" s="27" t="b">
        <f t="shared" si="2291"/>
        <v>1</v>
      </c>
      <c r="BC306" s="23">
        <f t="shared" si="2012"/>
        <v>271</v>
      </c>
      <c r="BD306" s="56" t="s">
        <v>23</v>
      </c>
      <c r="BE306" s="3" t="s">
        <v>23</v>
      </c>
      <c r="BF306" s="118" t="s">
        <v>23</v>
      </c>
      <c r="BG306" s="49" t="s">
        <v>1368</v>
      </c>
      <c r="BH306" s="49" t="s">
        <v>1373</v>
      </c>
      <c r="BI306" s="1"/>
      <c r="BJ306" s="70" t="s">
        <v>1283</v>
      </c>
      <c r="BK306" s="57" t="s">
        <v>1283</v>
      </c>
      <c r="BL306" s="57" t="s">
        <v>1283</v>
      </c>
      <c r="BM306" s="57" t="s">
        <v>1283</v>
      </c>
      <c r="BN306" s="57" t="s">
        <v>1283</v>
      </c>
      <c r="BO306" s="57" t="s">
        <v>1283</v>
      </c>
      <c r="BP306" s="57" t="s">
        <v>1283</v>
      </c>
      <c r="BQ306" s="57" t="s">
        <v>1283</v>
      </c>
      <c r="BR306" s="57" t="s">
        <v>1283</v>
      </c>
      <c r="BS306" s="57" t="s">
        <v>1283</v>
      </c>
      <c r="BT306" s="57" t="s">
        <v>1283</v>
      </c>
      <c r="BU306" s="57" t="s">
        <v>1283</v>
      </c>
      <c r="BV306" s="70">
        <f t="shared" si="2013"/>
        <v>41</v>
      </c>
      <c r="BW306" s="71">
        <f t="shared" si="2014"/>
        <v>78</v>
      </c>
      <c r="BX306" s="72">
        <f t="shared" si="2015"/>
        <v>82</v>
      </c>
      <c r="BY306" s="71">
        <f t="shared" si="2016"/>
        <v>113</v>
      </c>
      <c r="BZ306" s="72">
        <f t="shared" si="2017"/>
        <v>117</v>
      </c>
      <c r="CA306" s="71">
        <f t="shared" si="2018"/>
        <v>153</v>
      </c>
      <c r="CB306" s="72">
        <f t="shared" si="2019"/>
        <v>161</v>
      </c>
      <c r="CC306" s="71">
        <f t="shared" si="2020"/>
        <v>198</v>
      </c>
      <c r="CD306" s="72">
        <f t="shared" si="2021"/>
        <v>205</v>
      </c>
      <c r="CE306" s="71">
        <f t="shared" si="2022"/>
        <v>249</v>
      </c>
      <c r="CF306" s="72">
        <f t="shared" si="2023"/>
        <v>293</v>
      </c>
      <c r="CG306" s="71">
        <f t="shared" si="2024"/>
        <v>322</v>
      </c>
      <c r="CH306" s="70">
        <f t="shared" si="2025"/>
        <v>77</v>
      </c>
      <c r="CI306" s="71">
        <f t="shared" si="2026"/>
        <v>81</v>
      </c>
      <c r="CJ306" s="72">
        <f t="shared" si="2027"/>
        <v>112</v>
      </c>
      <c r="CK306" s="72">
        <f t="shared" si="2028"/>
        <v>116</v>
      </c>
      <c r="CL306" s="72">
        <f t="shared" si="2029"/>
        <v>152</v>
      </c>
      <c r="CM306" s="72">
        <f t="shared" si="2030"/>
        <v>160</v>
      </c>
      <c r="CN306" s="72">
        <f t="shared" si="2031"/>
        <v>187</v>
      </c>
      <c r="CO306" s="72">
        <f t="shared" si="2032"/>
        <v>200</v>
      </c>
      <c r="CP306" s="72">
        <f t="shared" si="2033"/>
        <v>243</v>
      </c>
      <c r="CQ306" s="72">
        <f t="shared" si="2034"/>
        <v>287</v>
      </c>
      <c r="CR306" s="72">
        <f t="shared" si="2035"/>
        <v>321</v>
      </c>
      <c r="CS306" s="72">
        <f t="shared" si="2036"/>
        <v>335</v>
      </c>
      <c r="CT306" s="23">
        <f t="shared" si="2037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</row>
    <row r="307" spans="1:1030" s="2" customFormat="1" x14ac:dyDescent="0.2">
      <c r="A307" s="3" t="str">
        <f t="shared" si="2290"/>
        <v>oprd_mouse_4EJ4</v>
      </c>
      <c r="B307" s="3" t="s">
        <v>911</v>
      </c>
      <c r="C307" s="3" t="s">
        <v>64</v>
      </c>
      <c r="D307" s="3" t="str">
        <f>IFERROR(MID(VLOOKUP($B307,Seqs!$A:$B,2,0),E307,1),"")</f>
        <v>R</v>
      </c>
      <c r="E307" s="3">
        <v>41</v>
      </c>
      <c r="F307" s="3" t="str">
        <f>IFERROR(MID(VLOOKUP($B307,Seqs!$A:$B,2,0),G307,1),"")</f>
        <v>Y</v>
      </c>
      <c r="G307" s="3">
        <v>77</v>
      </c>
      <c r="H307" s="3" t="str">
        <f>IFERROR(MID(VLOOKUP($B307,Seqs!$A:$B,2,0),I307,1),"")</f>
        <v>T</v>
      </c>
      <c r="I307" s="23">
        <v>78</v>
      </c>
      <c r="J307" s="3" t="str">
        <f>IFERROR(MID(VLOOKUP($B307,Seqs!$A:$B,2,0),K307,1),"")</f>
        <v>K</v>
      </c>
      <c r="K307" s="23">
        <v>81</v>
      </c>
      <c r="L307" s="3" t="str">
        <f>IFERROR(MID(VLOOKUP($B307,Seqs!$A:$B,2,0),M307,1),"")</f>
        <v>T</v>
      </c>
      <c r="M307" s="3">
        <v>82</v>
      </c>
      <c r="N307" s="3" t="str">
        <f>IFERROR(MID(VLOOKUP($B307,Seqs!$A:$B,2,0),O307,1),"")</f>
        <v>E</v>
      </c>
      <c r="O307" s="3">
        <v>112</v>
      </c>
      <c r="P307" s="3" t="str">
        <f>IFERROR(MID(VLOOKUP($B307,Seqs!$A:$B,2,0),Q307,1),"")</f>
        <v>T</v>
      </c>
      <c r="Q307" s="3">
        <v>113</v>
      </c>
      <c r="R307" s="3" t="str">
        <f>IFERROR(MID(VLOOKUP($B307,Seqs!$A:$B,2,0),S307,1),"")</f>
        <v>F</v>
      </c>
      <c r="S307" s="3">
        <v>116</v>
      </c>
      <c r="T307" s="3" t="str">
        <f>IFERROR(MID(VLOOKUP($B307,Seqs!$A:$B,2,0),U307,1),"")</f>
        <v>G</v>
      </c>
      <c r="U307" s="3">
        <v>117</v>
      </c>
      <c r="V307" s="3" t="str">
        <f>IFERROR(MID(VLOOKUP($B307,Seqs!$A:$B,2,0),W307,1),"")</f>
        <v>H</v>
      </c>
      <c r="W307" s="3">
        <v>152</v>
      </c>
      <c r="X307" s="3" t="str">
        <f>IFERROR(MID(VLOOKUP($B307,Seqs!$A:$B,2,0),Y307,1),"")</f>
        <v>P</v>
      </c>
      <c r="Y307" s="3">
        <v>153</v>
      </c>
      <c r="Z307" s="3" t="str">
        <f>IFERROR(MID(VLOOKUP($B307,Seqs!$A:$B,2,0),AA307,1),"")</f>
        <v>R</v>
      </c>
      <c r="AA307" s="3">
        <v>160</v>
      </c>
      <c r="AB307" s="3" t="str">
        <f>IFERROR(MID(VLOOKUP($B307,Seqs!$A:$B,2,0),AC307,1),"")</f>
        <v>T</v>
      </c>
      <c r="AC307" s="3">
        <v>161</v>
      </c>
      <c r="AD307" s="3" t="str">
        <f>IFERROR(MID(VLOOKUP($B307,Seqs!$A:$B,2,0),AE307,1),"")</f>
        <v>A</v>
      </c>
      <c r="AE307" s="3">
        <v>187</v>
      </c>
      <c r="AF307" s="3" t="str">
        <f>IFERROR(MID(VLOOKUP($B307,Seqs!$A:$B,2,0),AG307,1),"")</f>
        <v>C</v>
      </c>
      <c r="AG307" s="3">
        <v>198</v>
      </c>
      <c r="AH307" s="3" t="str">
        <f>IFERROR(MID(VLOOKUP($B307,Seqs!$A:$B,2,0),AI307,1),"")</f>
        <v>L</v>
      </c>
      <c r="AI307" s="3">
        <v>200</v>
      </c>
      <c r="AJ307" s="3" t="str">
        <f>IFERROR(MID(VLOOKUP($B307,Seqs!$A:$B,2,0),AK307,1),"")</f>
        <v>P</v>
      </c>
      <c r="AK307" s="3">
        <v>205</v>
      </c>
      <c r="AL307" s="3" t="str">
        <f>IFERROR(MID(VLOOKUP($B307,Seqs!$A:$B,2,0),AM307,1),"")</f>
        <v>L</v>
      </c>
      <c r="AM307" s="3">
        <v>238</v>
      </c>
      <c r="AN307" s="3" t="str">
        <f>IFERROR(MID(VLOOKUP($B307,Seqs!$A:$B,2,0),AO307,1),"")</f>
        <v>R</v>
      </c>
      <c r="AO307" s="3">
        <v>258</v>
      </c>
      <c r="AP307" s="3" t="str">
        <f>IFERROR(MID(VLOOKUP($B307,Seqs!$A:$B,2,0),AQ307,1),"")</f>
        <v>V</v>
      </c>
      <c r="AQ307" s="3">
        <v>287</v>
      </c>
      <c r="AR307" s="3" t="str">
        <f>IFERROR(MID(VLOOKUP($B307,Seqs!$A:$B,2,0),AS307,1),"")</f>
        <v>D</v>
      </c>
      <c r="AS307" s="3">
        <v>293</v>
      </c>
      <c r="AT307" s="3" t="str">
        <f>IFERROR(MID(VLOOKUP($B307,Seqs!$A:$B,2,0),AU307,1),"")</f>
        <v>L</v>
      </c>
      <c r="AU307" s="3">
        <v>321</v>
      </c>
      <c r="AV307" s="3" t="str">
        <f>IFERROR(MID(VLOOKUP($B307,Seqs!$A:$B,2,0),AW307,1),"")</f>
        <v>D</v>
      </c>
      <c r="AW307" s="3">
        <v>322</v>
      </c>
      <c r="AX307" s="3" t="str">
        <f>IFERROR(MID(VLOOKUP($B307,Seqs!$A:$B,2,0),AY307,1),"")</f>
        <v>C</v>
      </c>
      <c r="AY307" s="3">
        <v>328</v>
      </c>
      <c r="AZ307" s="77" t="str">
        <f>VLOOKUP(B307,Classification!A:D,2,0)</f>
        <v>A</v>
      </c>
      <c r="BA307" s="94" t="str">
        <f>VLOOKUP(B307,Classification!A:D,4,0)</f>
        <v>Opioid</v>
      </c>
      <c r="BB307" s="27" t="b">
        <f t="shared" si="2291"/>
        <v>1</v>
      </c>
      <c r="BC307" s="23">
        <f t="shared" si="2012"/>
        <v>250</v>
      </c>
      <c r="BD307" s="2" t="s">
        <v>23</v>
      </c>
      <c r="BE307" s="3" t="s">
        <v>1370</v>
      </c>
      <c r="BF307" s="118">
        <v>3.4</v>
      </c>
      <c r="BG307" s="49" t="s">
        <v>1373</v>
      </c>
      <c r="BH307" s="49" t="s">
        <v>1373</v>
      </c>
      <c r="BI307" s="1"/>
      <c r="BJ307" s="70" t="s">
        <v>1283</v>
      </c>
      <c r="BK307" s="57" t="s">
        <v>1283</v>
      </c>
      <c r="BL307" s="57" t="s">
        <v>1283</v>
      </c>
      <c r="BM307" s="57" t="s">
        <v>1283</v>
      </c>
      <c r="BN307" s="57" t="s">
        <v>1283</v>
      </c>
      <c r="BO307" s="57" t="s">
        <v>1283</v>
      </c>
      <c r="BP307" s="57" t="s">
        <v>1283</v>
      </c>
      <c r="BQ307" s="57" t="s">
        <v>1283</v>
      </c>
      <c r="BR307" s="57" t="s">
        <v>1283</v>
      </c>
      <c r="BS307" s="57" t="s">
        <v>1283</v>
      </c>
      <c r="BT307" s="57" t="s">
        <v>1283</v>
      </c>
      <c r="BU307" s="57" t="s">
        <v>1283</v>
      </c>
      <c r="BV307" s="70">
        <f t="shared" si="2013"/>
        <v>41</v>
      </c>
      <c r="BW307" s="71">
        <f t="shared" si="2014"/>
        <v>78</v>
      </c>
      <c r="BX307" s="72">
        <f t="shared" si="2015"/>
        <v>82</v>
      </c>
      <c r="BY307" s="71">
        <f t="shared" si="2016"/>
        <v>113</v>
      </c>
      <c r="BZ307" s="72">
        <f t="shared" si="2017"/>
        <v>117</v>
      </c>
      <c r="CA307" s="71">
        <f t="shared" si="2018"/>
        <v>153</v>
      </c>
      <c r="CB307" s="72">
        <f t="shared" si="2019"/>
        <v>161</v>
      </c>
      <c r="CC307" s="71">
        <f t="shared" si="2020"/>
        <v>198</v>
      </c>
      <c r="CD307" s="72">
        <f t="shared" si="2021"/>
        <v>205</v>
      </c>
      <c r="CE307" s="71">
        <f t="shared" si="2022"/>
        <v>258</v>
      </c>
      <c r="CF307" s="72">
        <f t="shared" si="2023"/>
        <v>293</v>
      </c>
      <c r="CG307" s="71">
        <f t="shared" si="2024"/>
        <v>322</v>
      </c>
      <c r="CH307" s="70">
        <f t="shared" si="2025"/>
        <v>77</v>
      </c>
      <c r="CI307" s="71">
        <f t="shared" si="2026"/>
        <v>81</v>
      </c>
      <c r="CJ307" s="72">
        <f t="shared" si="2027"/>
        <v>112</v>
      </c>
      <c r="CK307" s="72">
        <f t="shared" si="2028"/>
        <v>116</v>
      </c>
      <c r="CL307" s="72">
        <f t="shared" si="2029"/>
        <v>152</v>
      </c>
      <c r="CM307" s="72">
        <f t="shared" si="2030"/>
        <v>160</v>
      </c>
      <c r="CN307" s="72">
        <f t="shared" si="2031"/>
        <v>187</v>
      </c>
      <c r="CO307" s="72">
        <f t="shared" si="2032"/>
        <v>200</v>
      </c>
      <c r="CP307" s="72">
        <f t="shared" si="2033"/>
        <v>238</v>
      </c>
      <c r="CQ307" s="72">
        <f t="shared" si="2034"/>
        <v>287</v>
      </c>
      <c r="CR307" s="72">
        <f t="shared" si="2035"/>
        <v>321</v>
      </c>
      <c r="CS307" s="72">
        <f t="shared" si="2036"/>
        <v>328</v>
      </c>
      <c r="CT307" s="23">
        <f t="shared" si="2037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</row>
    <row r="308" spans="1:1030" x14ac:dyDescent="0.2">
      <c r="A308" s="3" t="str">
        <f t="shared" si="2290"/>
        <v>oprk_human__wt</v>
      </c>
      <c r="B308" s="3" t="s">
        <v>335</v>
      </c>
      <c r="C308" s="3" t="s">
        <v>100</v>
      </c>
      <c r="D308" s="3" t="str">
        <f>IFERROR(MID(VLOOKUP($B308,Seqs!$A:$B,2,0),E308,1),"")</f>
        <v>A</v>
      </c>
      <c r="E308" s="3">
        <v>57</v>
      </c>
      <c r="F308" s="3" t="str">
        <f>IFERROR(MID(VLOOKUP($B308,Seqs!$A:$B,2,0),G308,1),"")</f>
        <v>Y</v>
      </c>
      <c r="G308" s="3">
        <v>87</v>
      </c>
      <c r="H308" s="3" t="str">
        <f>IFERROR(MID(VLOOKUP($B308,Seqs!$A:$B,2,0),I308,1),"")</f>
        <v>T</v>
      </c>
      <c r="I308" s="23">
        <v>88</v>
      </c>
      <c r="J308" s="3" t="str">
        <f>IFERROR(MID(VLOOKUP($B308,Seqs!$A:$B,2,0),K308,1),"")</f>
        <v>K</v>
      </c>
      <c r="K308" s="23">
        <v>91</v>
      </c>
      <c r="L308" s="3" t="str">
        <f>IFERROR(MID(VLOOKUP($B308,Seqs!$A:$B,2,0),M308,1),"")</f>
        <v>T</v>
      </c>
      <c r="M308" s="3">
        <v>92</v>
      </c>
      <c r="N308" s="3" t="str">
        <f>IFERROR(MID(VLOOKUP($B308,Seqs!$A:$B,2,0),O308,1),"")</f>
        <v>N</v>
      </c>
      <c r="O308" s="3">
        <v>122</v>
      </c>
      <c r="P308" s="3" t="str">
        <f>IFERROR(MID(VLOOKUP($B308,Seqs!$A:$B,2,0),Q308,1),"")</f>
        <v>S</v>
      </c>
      <c r="Q308" s="3">
        <v>123</v>
      </c>
      <c r="R308" s="3" t="str">
        <f>IFERROR(MID(VLOOKUP($B308,Seqs!$A:$B,2,0),S308,1),"")</f>
        <v>F</v>
      </c>
      <c r="S308" s="3">
        <v>126</v>
      </c>
      <c r="T308" s="3" t="str">
        <f>IFERROR(MID(VLOOKUP($B308,Seqs!$A:$B,2,0),U308,1),"")</f>
        <v>G</v>
      </c>
      <c r="U308" s="3">
        <v>127</v>
      </c>
      <c r="V308" s="3" t="str">
        <f>IFERROR(MID(VLOOKUP($B308,Seqs!$A:$B,2,0),W308,1),"")</f>
        <v>H</v>
      </c>
      <c r="W308" s="3">
        <v>162</v>
      </c>
      <c r="X308" s="3" t="str">
        <f>IFERROR(MID(VLOOKUP($B308,Seqs!$A:$B,2,0),Y308,1),"")</f>
        <v>P</v>
      </c>
      <c r="Y308" s="3">
        <v>163</v>
      </c>
      <c r="Z308" s="3" t="str">
        <f>IFERROR(MID(VLOOKUP($B308,Seqs!$A:$B,2,0),AA308,1),"")</f>
        <v>R</v>
      </c>
      <c r="AA308" s="3">
        <v>170</v>
      </c>
      <c r="AB308" s="3" t="str">
        <f>IFERROR(MID(VLOOKUP($B308,Seqs!$A:$B,2,0),AC308,1),"")</f>
        <v>T</v>
      </c>
      <c r="AC308" s="3">
        <v>171</v>
      </c>
      <c r="AD308" s="3" t="str">
        <f>IFERROR(MID(VLOOKUP($B308,Seqs!$A:$B,2,0),AE308,1),"")</f>
        <v>G</v>
      </c>
      <c r="AE308" s="3">
        <v>197</v>
      </c>
      <c r="AF308" s="3" t="str">
        <f>IFERROR(MID(VLOOKUP($B308,Seqs!$A:$B,2,0),AG308,1),"")</f>
        <v>C</v>
      </c>
      <c r="AG308" s="3">
        <v>210</v>
      </c>
      <c r="AH308" s="3" t="str">
        <f>IFERROR(MID(VLOOKUP($B308,Seqs!$A:$B,2,0),AI308,1),"")</f>
        <v>L</v>
      </c>
      <c r="AI308" s="3">
        <v>212</v>
      </c>
      <c r="AJ308" s="3" t="str">
        <f>IFERROR(MID(VLOOKUP($B308,Seqs!$A:$B,2,0),AK308,1),"")</f>
        <v>D</v>
      </c>
      <c r="AK308" s="3">
        <v>218</v>
      </c>
      <c r="AL308" s="3" t="str">
        <f>IFERROR(MID(VLOOKUP($B308,Seqs!$A:$B,2,0),AM308,1),"")</f>
        <v>V</v>
      </c>
      <c r="AM308" s="3">
        <v>256</v>
      </c>
      <c r="AN308" s="3" t="str">
        <f>IFERROR(MID(VLOOKUP($B308,Seqs!$A:$B,2,0),AO308,1),"")</f>
        <v>S</v>
      </c>
      <c r="AO308" s="3">
        <v>262</v>
      </c>
      <c r="AP308" s="3" t="str">
        <f>IFERROR(MID(VLOOKUP($B308,Seqs!$A:$B,2,0),AQ308,1),"")</f>
        <v>G</v>
      </c>
      <c r="AQ308" s="3">
        <v>300</v>
      </c>
      <c r="AR308" s="3" t="str">
        <f>IFERROR(MID(VLOOKUP($B308,Seqs!$A:$B,2,0),AS308,1),"")</f>
        <v>S</v>
      </c>
      <c r="AS308" s="3">
        <v>305</v>
      </c>
      <c r="AT308" s="3" t="str">
        <f>IFERROR(MID(VLOOKUP($B308,Seqs!$A:$B,2,0),AU308,1),"")</f>
        <v>L</v>
      </c>
      <c r="AU308" s="3">
        <v>333</v>
      </c>
      <c r="AV308" s="3" t="str">
        <f>IFERROR(MID(VLOOKUP($B308,Seqs!$A:$B,2,0),AW308,1),"")</f>
        <v>D</v>
      </c>
      <c r="AW308" s="3">
        <v>334</v>
      </c>
      <c r="AX308" s="3" t="str">
        <f>IFERROR(MID(VLOOKUP($B308,Seqs!$A:$B,2,0),AY308,1),"")</f>
        <v>F</v>
      </c>
      <c r="AY308" s="3">
        <v>346</v>
      </c>
      <c r="AZ308" s="77" t="str">
        <f>VLOOKUP(B308,Classification!A:D,2,0)</f>
        <v>A</v>
      </c>
      <c r="BA308" s="94" t="str">
        <f>VLOOKUP(B308,Classification!A:D,4,0)</f>
        <v>Opioid</v>
      </c>
      <c r="BB308" s="27" t="b">
        <f t="shared" si="2291"/>
        <v>1</v>
      </c>
      <c r="BC308" s="23">
        <f t="shared" si="2012"/>
        <v>264</v>
      </c>
      <c r="BD308" s="56" t="s">
        <v>23</v>
      </c>
      <c r="BE308" s="3" t="s">
        <v>23</v>
      </c>
      <c r="BF308" s="118" t="s">
        <v>23</v>
      </c>
      <c r="BG308" s="49" t="s">
        <v>1368</v>
      </c>
      <c r="BH308" s="49" t="s">
        <v>1373</v>
      </c>
      <c r="BI308" s="1"/>
      <c r="BJ308" s="70" t="s">
        <v>1283</v>
      </c>
      <c r="BK308" s="57" t="s">
        <v>1283</v>
      </c>
      <c r="BL308" s="57" t="s">
        <v>1283</v>
      </c>
      <c r="BM308" s="57" t="s">
        <v>1283</v>
      </c>
      <c r="BN308" s="57" t="s">
        <v>1283</v>
      </c>
      <c r="BO308" s="57" t="s">
        <v>1283</v>
      </c>
      <c r="BP308" s="57" t="s">
        <v>1283</v>
      </c>
      <c r="BQ308" s="57" t="s">
        <v>1283</v>
      </c>
      <c r="BR308" s="57" t="s">
        <v>1283</v>
      </c>
      <c r="BS308" s="57" t="s">
        <v>1283</v>
      </c>
      <c r="BT308" s="57" t="s">
        <v>1283</v>
      </c>
      <c r="BU308" s="57" t="s">
        <v>1283</v>
      </c>
      <c r="BV308" s="70">
        <f t="shared" si="2013"/>
        <v>57</v>
      </c>
      <c r="BW308" s="71">
        <f t="shared" si="2014"/>
        <v>88</v>
      </c>
      <c r="BX308" s="72">
        <f t="shared" si="2015"/>
        <v>92</v>
      </c>
      <c r="BY308" s="71">
        <f t="shared" si="2016"/>
        <v>123</v>
      </c>
      <c r="BZ308" s="72">
        <f t="shared" si="2017"/>
        <v>127</v>
      </c>
      <c r="CA308" s="71">
        <f t="shared" si="2018"/>
        <v>163</v>
      </c>
      <c r="CB308" s="72">
        <f t="shared" si="2019"/>
        <v>171</v>
      </c>
      <c r="CC308" s="71">
        <f t="shared" si="2020"/>
        <v>210</v>
      </c>
      <c r="CD308" s="72">
        <f t="shared" si="2021"/>
        <v>218</v>
      </c>
      <c r="CE308" s="71">
        <f t="shared" si="2022"/>
        <v>262</v>
      </c>
      <c r="CF308" s="72">
        <f t="shared" si="2023"/>
        <v>305</v>
      </c>
      <c r="CG308" s="71">
        <f t="shared" si="2024"/>
        <v>334</v>
      </c>
      <c r="CH308" s="70">
        <f t="shared" si="2025"/>
        <v>87</v>
      </c>
      <c r="CI308" s="71">
        <f t="shared" si="2026"/>
        <v>91</v>
      </c>
      <c r="CJ308" s="72">
        <f t="shared" si="2027"/>
        <v>122</v>
      </c>
      <c r="CK308" s="72">
        <f t="shared" si="2028"/>
        <v>126</v>
      </c>
      <c r="CL308" s="72">
        <f t="shared" si="2029"/>
        <v>162</v>
      </c>
      <c r="CM308" s="72">
        <f t="shared" si="2030"/>
        <v>170</v>
      </c>
      <c r="CN308" s="72">
        <f t="shared" si="2031"/>
        <v>197</v>
      </c>
      <c r="CO308" s="72">
        <f t="shared" si="2032"/>
        <v>212</v>
      </c>
      <c r="CP308" s="72">
        <f t="shared" si="2033"/>
        <v>256</v>
      </c>
      <c r="CQ308" s="72">
        <f t="shared" si="2034"/>
        <v>300</v>
      </c>
      <c r="CR308" s="72">
        <f t="shared" si="2035"/>
        <v>333</v>
      </c>
      <c r="CS308" s="72">
        <f t="shared" si="2036"/>
        <v>346</v>
      </c>
      <c r="CT308" s="23">
        <f t="shared" si="2037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2290"/>
        <v>oprk_human_4DJH</v>
      </c>
      <c r="B309" s="3" t="s">
        <v>335</v>
      </c>
      <c r="C309" s="3" t="s">
        <v>88</v>
      </c>
      <c r="D309" s="3" t="str">
        <f>IFERROR(MID(VLOOKUP($B309,Seqs!$A:$B,2,0),E309,1),"")</f>
        <v>A</v>
      </c>
      <c r="E309" s="3">
        <v>57</v>
      </c>
      <c r="F309" s="3" t="str">
        <f>IFERROR(MID(VLOOKUP($B309,Seqs!$A:$B,2,0),G309,1),"")</f>
        <v>Y</v>
      </c>
      <c r="G309" s="3">
        <v>87</v>
      </c>
      <c r="H309" s="3" t="str">
        <f>IFERROR(MID(VLOOKUP($B309,Seqs!$A:$B,2,0),I309,1),"")</f>
        <v>T</v>
      </c>
      <c r="I309" s="23">
        <v>88</v>
      </c>
      <c r="J309" s="3" t="str">
        <f>IFERROR(MID(VLOOKUP($B309,Seqs!$A:$B,2,0),K309,1),"")</f>
        <v>K</v>
      </c>
      <c r="K309" s="23">
        <v>91</v>
      </c>
      <c r="L309" s="3" t="str">
        <f>IFERROR(MID(VLOOKUP($B309,Seqs!$A:$B,2,0),M309,1),"")</f>
        <v>T</v>
      </c>
      <c r="M309" s="3">
        <v>92</v>
      </c>
      <c r="N309" s="3" t="str">
        <f>IFERROR(MID(VLOOKUP($B309,Seqs!$A:$B,2,0),O309,1),"")</f>
        <v>N</v>
      </c>
      <c r="O309" s="3">
        <v>122</v>
      </c>
      <c r="P309" s="3" t="str">
        <f>IFERROR(MID(VLOOKUP($B309,Seqs!$A:$B,2,0),Q309,1),"")</f>
        <v>S</v>
      </c>
      <c r="Q309" s="3">
        <v>123</v>
      </c>
      <c r="R309" s="3" t="str">
        <f>IFERROR(MID(VLOOKUP($B309,Seqs!$A:$B,2,0),S309,1),"")</f>
        <v>F</v>
      </c>
      <c r="S309" s="3">
        <v>126</v>
      </c>
      <c r="T309" s="3" t="str">
        <f>IFERROR(MID(VLOOKUP($B309,Seqs!$A:$B,2,0),U309,1),"")</f>
        <v>G</v>
      </c>
      <c r="U309" s="3">
        <v>127</v>
      </c>
      <c r="V309" s="3" t="str">
        <f>IFERROR(MID(VLOOKUP($B309,Seqs!$A:$B,2,0),W309,1),"")</f>
        <v>H</v>
      </c>
      <c r="W309" s="3">
        <v>162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R</v>
      </c>
      <c r="AC309" s="3">
        <v>170</v>
      </c>
      <c r="AD309" s="3" t="str">
        <f>IFERROR(MID(VLOOKUP($B309,Seqs!$A:$B,2,0),AE309,1),"")</f>
        <v>G</v>
      </c>
      <c r="AE309" s="3">
        <v>197</v>
      </c>
      <c r="AF309" s="3" t="str">
        <f>IFERROR(MID(VLOOKUP($B309,Seqs!$A:$B,2,0),AG309,1),"")</f>
        <v>C</v>
      </c>
      <c r="AG309" s="3">
        <v>210</v>
      </c>
      <c r="AH309" s="3" t="str">
        <f>IFERROR(MID(VLOOKUP($B309,Seqs!$A:$B,2,0),AI309,1),"")</f>
        <v>L</v>
      </c>
      <c r="AI309" s="3">
        <v>212</v>
      </c>
      <c r="AJ309" s="3" t="str">
        <f>IFERROR(MID(VLOOKUP($B309,Seqs!$A:$B,2,0),AK309,1),"")</f>
        <v>D</v>
      </c>
      <c r="AK309" s="3">
        <v>218</v>
      </c>
      <c r="AL309" s="3" t="str">
        <f>IFERROR(MID(VLOOKUP($B309,Seqs!$A:$B,2,0),AM309,1),"")</f>
        <v>V</v>
      </c>
      <c r="AM309" s="3">
        <v>256</v>
      </c>
      <c r="AN309" s="3" t="str">
        <f>IFERROR(MID(VLOOKUP($B309,Seqs!$A:$B,2,0),AO309,1),"")</f>
        <v>R</v>
      </c>
      <c r="AO309" s="3">
        <v>267</v>
      </c>
      <c r="AP309" s="3" t="str">
        <f>IFERROR(MID(VLOOKUP($B309,Seqs!$A:$B,2,0),AQ309,1),"")</f>
        <v>G</v>
      </c>
      <c r="AQ309" s="3">
        <v>300</v>
      </c>
      <c r="AR309" s="3" t="str">
        <f>IFERROR(MID(VLOOKUP($B309,Seqs!$A:$B,2,0),AS309,1),"")</f>
        <v>A</v>
      </c>
      <c r="AS309" s="3">
        <v>308</v>
      </c>
      <c r="AT309" s="3" t="str">
        <f>IFERROR(MID(VLOOKUP($B309,Seqs!$A:$B,2,0),AU309,1),"")</f>
        <v>L</v>
      </c>
      <c r="AU309" s="3">
        <v>333</v>
      </c>
      <c r="AV309" s="3" t="str">
        <f>IFERROR(MID(VLOOKUP($B309,Seqs!$A:$B,2,0),AW309,1),"")</f>
        <v>D</v>
      </c>
      <c r="AW309" s="3">
        <v>334</v>
      </c>
      <c r="AX309" s="3" t="str">
        <f>IFERROR(MID(VLOOKUP($B309,Seqs!$A:$B,2,0),AY309,1),"")</f>
        <v>F</v>
      </c>
      <c r="AY309" s="3">
        <v>346</v>
      </c>
      <c r="AZ309" s="77" t="str">
        <f>VLOOKUP(B309,Classification!A:D,2,0)</f>
        <v>A</v>
      </c>
      <c r="BA309" s="94" t="str">
        <f>VLOOKUP(B309,Classification!A:D,4,0)</f>
        <v>Opioid</v>
      </c>
      <c r="BB309" s="27" t="b">
        <f t="shared" si="2291"/>
        <v>1</v>
      </c>
      <c r="BC309" s="23">
        <f t="shared" si="2012"/>
        <v>250</v>
      </c>
      <c r="BD309" s="2" t="s">
        <v>23</v>
      </c>
      <c r="BE309" s="3" t="s">
        <v>1370</v>
      </c>
      <c r="BF309" s="118">
        <v>2.9</v>
      </c>
      <c r="BG309" s="49" t="s">
        <v>1373</v>
      </c>
      <c r="BH309" s="49" t="s">
        <v>1373</v>
      </c>
      <c r="BI309" s="1"/>
      <c r="BJ309" s="70" t="s">
        <v>1283</v>
      </c>
      <c r="BK309" s="57" t="s">
        <v>1283</v>
      </c>
      <c r="BL309" s="57" t="s">
        <v>1283</v>
      </c>
      <c r="BM309" s="57" t="s">
        <v>1283</v>
      </c>
      <c r="BN309" s="57" t="s">
        <v>1283</v>
      </c>
      <c r="BO309" s="57" t="s">
        <v>1283</v>
      </c>
      <c r="BP309" s="57" t="s">
        <v>1283</v>
      </c>
      <c r="BQ309" s="57" t="s">
        <v>1283</v>
      </c>
      <c r="BR309" s="57" t="s">
        <v>1283</v>
      </c>
      <c r="BS309" s="57" t="s">
        <v>1283</v>
      </c>
      <c r="BT309" s="57" t="s">
        <v>1283</v>
      </c>
      <c r="BU309" s="57" t="s">
        <v>1283</v>
      </c>
      <c r="BV309" s="70">
        <f t="shared" si="2013"/>
        <v>57</v>
      </c>
      <c r="BW309" s="71">
        <f t="shared" si="2014"/>
        <v>88</v>
      </c>
      <c r="BX309" s="72">
        <f t="shared" si="2015"/>
        <v>92</v>
      </c>
      <c r="BY309" s="71">
        <f t="shared" si="2016"/>
        <v>123</v>
      </c>
      <c r="BZ309" s="72">
        <f t="shared" si="2017"/>
        <v>127</v>
      </c>
      <c r="CA309" s="71" t="str">
        <f t="shared" si="2018"/>
        <v>-</v>
      </c>
      <c r="CB309" s="72">
        <f t="shared" si="2019"/>
        <v>170</v>
      </c>
      <c r="CC309" s="71">
        <f t="shared" si="2020"/>
        <v>210</v>
      </c>
      <c r="CD309" s="72">
        <f t="shared" si="2021"/>
        <v>218</v>
      </c>
      <c r="CE309" s="71">
        <f t="shared" si="2022"/>
        <v>267</v>
      </c>
      <c r="CF309" s="72">
        <f t="shared" si="2023"/>
        <v>308</v>
      </c>
      <c r="CG309" s="71">
        <f t="shared" si="2024"/>
        <v>334</v>
      </c>
      <c r="CH309" s="70">
        <f t="shared" si="2025"/>
        <v>87</v>
      </c>
      <c r="CI309" s="71">
        <f t="shared" si="2026"/>
        <v>91</v>
      </c>
      <c r="CJ309" s="72">
        <f t="shared" si="2027"/>
        <v>122</v>
      </c>
      <c r="CK309" s="72">
        <f t="shared" si="2028"/>
        <v>126</v>
      </c>
      <c r="CL309" s="72">
        <f t="shared" si="2029"/>
        <v>162</v>
      </c>
      <c r="CM309" s="72" t="str">
        <f t="shared" si="2030"/>
        <v>-</v>
      </c>
      <c r="CN309" s="72">
        <f t="shared" si="2031"/>
        <v>197</v>
      </c>
      <c r="CO309" s="72">
        <f t="shared" si="2032"/>
        <v>212</v>
      </c>
      <c r="CP309" s="72">
        <f t="shared" si="2033"/>
        <v>256</v>
      </c>
      <c r="CQ309" s="72">
        <f t="shared" si="2034"/>
        <v>300</v>
      </c>
      <c r="CR309" s="72">
        <f t="shared" si="2035"/>
        <v>333</v>
      </c>
      <c r="CS309" s="72">
        <f t="shared" si="2036"/>
        <v>346</v>
      </c>
      <c r="CT309" s="23">
        <f t="shared" si="2037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>CONCATENATE(B310,"_",C310)</f>
        <v>oprk_human_6B73</v>
      </c>
      <c r="B310" s="3" t="s">
        <v>335</v>
      </c>
      <c r="C310" s="3" t="s">
        <v>1459</v>
      </c>
      <c r="D310" s="3" t="str">
        <f>IFERROR(MID(VLOOKUP($B310,Seqs!$A:$B,2,0),E310,1),"")</f>
        <v>A</v>
      </c>
      <c r="E310" s="3">
        <v>57</v>
      </c>
      <c r="F310" s="3" t="str">
        <f>IFERROR(MID(VLOOKUP($B310,Seqs!$A:$B,2,0),G310,1),"")</f>
        <v>Y</v>
      </c>
      <c r="G310" s="3">
        <v>87</v>
      </c>
      <c r="H310" s="3" t="str">
        <f>IFERROR(MID(VLOOKUP($B310,Seqs!$A:$B,2,0),I310,1),"")</f>
        <v/>
      </c>
      <c r="I310" s="23" t="s">
        <v>23</v>
      </c>
      <c r="J310" s="3" t="str">
        <f>IFERROR(MID(VLOOKUP($B310,Seqs!$A:$B,2,0),K310,1),"")</f>
        <v/>
      </c>
      <c r="K310" s="23" t="s">
        <v>23</v>
      </c>
      <c r="L310" s="3" t="str">
        <f>IFERROR(MID(VLOOKUP($B310,Seqs!$A:$B,2,0),M310,1),"")</f>
        <v>T</v>
      </c>
      <c r="M310" s="3">
        <v>92</v>
      </c>
      <c r="N310" s="3" t="str">
        <f>IFERROR(MID(VLOOKUP($B310,Seqs!$A:$B,2,0),O310,1),"")</f>
        <v>N</v>
      </c>
      <c r="O310" s="3">
        <v>122</v>
      </c>
      <c r="P310" s="3" t="str">
        <f>IFERROR(MID(VLOOKUP($B310,Seqs!$A:$B,2,0),Q310,1),"")</f>
        <v>S</v>
      </c>
      <c r="Q310" s="3">
        <v>123</v>
      </c>
      <c r="R310" s="3" t="str">
        <f>IFERROR(MID(VLOOKUP($B310,Seqs!$A:$B,2,0),S310,1),"")</f>
        <v>F</v>
      </c>
      <c r="S310" s="3">
        <v>126</v>
      </c>
      <c r="T310" s="3" t="str">
        <f>IFERROR(MID(VLOOKUP($B310,Seqs!$A:$B,2,0),U310,1),"")</f>
        <v>G</v>
      </c>
      <c r="U310" s="3">
        <v>127</v>
      </c>
      <c r="V310" s="3" t="str">
        <f>IFERROR(MID(VLOOKUP($B310,Seqs!$A:$B,2,0),W310,1),"")</f>
        <v>H</v>
      </c>
      <c r="W310" s="3">
        <v>162</v>
      </c>
      <c r="X310" s="3" t="str">
        <f>IFERROR(MID(VLOOKUP($B310,Seqs!$A:$B,2,0),Y310,1),"")</f>
        <v>P</v>
      </c>
      <c r="Y310" s="3">
        <v>163</v>
      </c>
      <c r="Z310" s="3" t="str">
        <f>IFERROR(MID(VLOOKUP($B310,Seqs!$A:$B,2,0),AA310,1),"")</f>
        <v>R</v>
      </c>
      <c r="AA310" s="3">
        <v>170</v>
      </c>
      <c r="AB310" s="3" t="str">
        <f>IFERROR(MID(VLOOKUP($B310,Seqs!$A:$B,2,0),AC310,1),"")</f>
        <v>T</v>
      </c>
      <c r="AC310" s="3">
        <v>171</v>
      </c>
      <c r="AD310" s="3" t="str">
        <f>IFERROR(MID(VLOOKUP($B310,Seqs!$A:$B,2,0),AE310,1),"")</f>
        <v>G</v>
      </c>
      <c r="AE310" s="3">
        <v>197</v>
      </c>
      <c r="AF310" s="3" t="str">
        <f>IFERROR(MID(VLOOKUP($B310,Seqs!$A:$B,2,0),AG310,1),"")</f>
        <v>C</v>
      </c>
      <c r="AG310" s="3">
        <v>210</v>
      </c>
      <c r="AH310" s="3" t="str">
        <f>IFERROR(MID(VLOOKUP($B310,Seqs!$A:$B,2,0),AI310,1),"")</f>
        <v>L</v>
      </c>
      <c r="AI310" s="3">
        <v>212</v>
      </c>
      <c r="AJ310" s="3" t="str">
        <f>IFERROR(MID(VLOOKUP($B310,Seqs!$A:$B,2,0),AK310,1),"")</f>
        <v>W</v>
      </c>
      <c r="AK310" s="3">
        <v>221</v>
      </c>
      <c r="AL310" s="3" t="str">
        <f>IFERROR(MID(VLOOKUP($B310,Seqs!$A:$B,2,0),AM310,1),"")</f>
        <v>S</v>
      </c>
      <c r="AM310" s="3">
        <v>255</v>
      </c>
      <c r="AN310" s="3" t="str">
        <f>IFERROR(MID(VLOOKUP($B310,Seqs!$A:$B,2,0),AO310,1),"")</f>
        <v>S</v>
      </c>
      <c r="AO310" s="3">
        <v>262</v>
      </c>
      <c r="AP310" s="3" t="str">
        <f>IFERROR(MID(VLOOKUP($B310,Seqs!$A:$B,2,0),AQ310,1),"")</f>
        <v>G</v>
      </c>
      <c r="AQ310" s="3">
        <v>300</v>
      </c>
      <c r="AR310" s="3" t="str">
        <f>IFERROR(MID(VLOOKUP($B310,Seqs!$A:$B,2,0),AS310,1),"")</f>
        <v>S</v>
      </c>
      <c r="AS310" s="3">
        <v>305</v>
      </c>
      <c r="AT310" s="3" t="str">
        <f>IFERROR(MID(VLOOKUP($B310,Seqs!$A:$B,2,0),AU310,1),"")</f>
        <v>I</v>
      </c>
      <c r="AU310" s="3">
        <v>328</v>
      </c>
      <c r="AV310" s="3" t="str">
        <f>IFERROR(MID(VLOOKUP($B310,Seqs!$A:$B,2,0),AW310,1),"")</f>
        <v/>
      </c>
      <c r="AW310" s="3" t="s">
        <v>23</v>
      </c>
      <c r="AX310" s="3" t="str">
        <f>IFERROR(MID(VLOOKUP($B310,Seqs!$A:$B,2,0),AY310,1),"")</f>
        <v/>
      </c>
      <c r="AY310" s="3" t="s">
        <v>23</v>
      </c>
      <c r="AZ310" s="77" t="str">
        <f>VLOOKUP(B310,Classification!A:D,2,0)</f>
        <v>A</v>
      </c>
      <c r="BA310" s="94" t="str">
        <f>VLOOKUP(B310,Classification!A:D,4,0)</f>
        <v>Opioid</v>
      </c>
      <c r="BB310" s="27" t="b">
        <f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23">
        <f>_xlfn.AGGREGATE(9,6,CH310:CS310)-_xlfn.AGGREGATE(9,6,BV310:CG310)+12</f>
        <v>240</v>
      </c>
      <c r="BD310" s="2" t="s">
        <v>1371</v>
      </c>
      <c r="BE310" s="3" t="s">
        <v>1287</v>
      </c>
      <c r="BF310" s="118">
        <v>3.1</v>
      </c>
      <c r="BG310" s="49" t="s">
        <v>1</v>
      </c>
      <c r="BH310" s="49" t="s">
        <v>1</v>
      </c>
      <c r="BI310" s="1"/>
      <c r="BJ310" s="70" t="s">
        <v>1283</v>
      </c>
      <c r="BK310" s="57" t="s">
        <v>1283</v>
      </c>
      <c r="BL310" s="57" t="s">
        <v>1283</v>
      </c>
      <c r="BM310" s="57" t="s">
        <v>1283</v>
      </c>
      <c r="BN310" s="57" t="s">
        <v>1283</v>
      </c>
      <c r="BO310" s="57" t="s">
        <v>1283</v>
      </c>
      <c r="BP310" s="57" t="s">
        <v>1283</v>
      </c>
      <c r="BQ310" s="57" t="s">
        <v>1283</v>
      </c>
      <c r="BR310" s="57" t="s">
        <v>1283</v>
      </c>
      <c r="BS310" s="57" t="s">
        <v>1283</v>
      </c>
      <c r="BT310" s="57" t="s">
        <v>1283</v>
      </c>
      <c r="BU310" s="57" t="s">
        <v>1283</v>
      </c>
      <c r="BV310" s="70">
        <f>E310</f>
        <v>57</v>
      </c>
      <c r="BW310" s="71" t="str">
        <f>I310</f>
        <v>-</v>
      </c>
      <c r="BX310" s="72">
        <f>M310</f>
        <v>92</v>
      </c>
      <c r="BY310" s="71">
        <f>Q310</f>
        <v>123</v>
      </c>
      <c r="BZ310" s="72">
        <f>U310</f>
        <v>127</v>
      </c>
      <c r="CA310" s="71">
        <f>Y310</f>
        <v>163</v>
      </c>
      <c r="CB310" s="72">
        <f>AC310</f>
        <v>171</v>
      </c>
      <c r="CC310" s="71">
        <f>AG310</f>
        <v>210</v>
      </c>
      <c r="CD310" s="72">
        <f>AK310</f>
        <v>221</v>
      </c>
      <c r="CE310" s="71">
        <f>AO310</f>
        <v>262</v>
      </c>
      <c r="CF310" s="72">
        <f>AS310</f>
        <v>305</v>
      </c>
      <c r="CG310" s="71" t="str">
        <f>AW310</f>
        <v>-</v>
      </c>
      <c r="CH310" s="70">
        <f>G310</f>
        <v>87</v>
      </c>
      <c r="CI310" s="71" t="str">
        <f>K310</f>
        <v>-</v>
      </c>
      <c r="CJ310" s="72">
        <f>O310</f>
        <v>122</v>
      </c>
      <c r="CK310" s="72">
        <f>S310</f>
        <v>126</v>
      </c>
      <c r="CL310" s="72">
        <f>W310</f>
        <v>162</v>
      </c>
      <c r="CM310" s="72">
        <f>AA310</f>
        <v>170</v>
      </c>
      <c r="CN310" s="72">
        <f>AE310</f>
        <v>197</v>
      </c>
      <c r="CO310" s="72">
        <f>AI310</f>
        <v>212</v>
      </c>
      <c r="CP310" s="72">
        <f>AM310</f>
        <v>255</v>
      </c>
      <c r="CQ310" s="72">
        <f>AQ310</f>
        <v>300</v>
      </c>
      <c r="CR310" s="72">
        <f>AU310</f>
        <v>328</v>
      </c>
      <c r="CS310" s="72" t="str">
        <f>AY310</f>
        <v>-</v>
      </c>
      <c r="CT310" s="23" t="e">
        <f>M310-K310</f>
        <v>#VALUE!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>CONCATENATE(B311,"_",C311)</f>
        <v>oprk_human_6VI4</v>
      </c>
      <c r="B311" s="3" t="s">
        <v>335</v>
      </c>
      <c r="C311" s="3" t="s">
        <v>1661</v>
      </c>
      <c r="D311" s="3" t="str">
        <f>IFERROR(MID(VLOOKUP($B311,Seqs!$A:$B,2,0),E311,1),"")</f>
        <v>T</v>
      </c>
      <c r="E311" s="3">
        <v>63</v>
      </c>
      <c r="F311" s="3" t="str">
        <f>IFERROR(MID(VLOOKUP($B311,Seqs!$A:$B,2,0),G311,1),"")</f>
        <v>Y</v>
      </c>
      <c r="G311" s="3">
        <v>87</v>
      </c>
      <c r="H311" s="3" t="str">
        <f>IFERROR(MID(VLOOKUP($B311,Seqs!$A:$B,2,0),I311,1),"")</f>
        <v>T</v>
      </c>
      <c r="I311" s="23">
        <v>88</v>
      </c>
      <c r="J311" s="3" t="str">
        <f>IFERROR(MID(VLOOKUP($B311,Seqs!$A:$B,2,0),K311,1),"")</f>
        <v>K</v>
      </c>
      <c r="K311" s="23">
        <v>91</v>
      </c>
      <c r="L311" s="3" t="str">
        <f>IFERROR(MID(VLOOKUP($B311,Seqs!$A:$B,2,0),M311,1),"")</f>
        <v>T</v>
      </c>
      <c r="M311" s="3">
        <v>92</v>
      </c>
      <c r="N311" s="3" t="str">
        <f>IFERROR(MID(VLOOKUP($B311,Seqs!$A:$B,2,0),O311,1),"")</f>
        <v>N</v>
      </c>
      <c r="O311" s="3">
        <v>122</v>
      </c>
      <c r="P311" s="3" t="str">
        <f>IFERROR(MID(VLOOKUP($B311,Seqs!$A:$B,2,0),Q311,1),"")</f>
        <v>S</v>
      </c>
      <c r="Q311" s="3">
        <v>123</v>
      </c>
      <c r="R311" s="3" t="str">
        <f>IFERROR(MID(VLOOKUP($B311,Seqs!$A:$B,2,0),S311,1),"")</f>
        <v>F</v>
      </c>
      <c r="S311" s="3">
        <v>126</v>
      </c>
      <c r="T311" s="3" t="str">
        <f>IFERROR(MID(VLOOKUP($B311,Seqs!$A:$B,2,0),U311,1),"")</f>
        <v>D</v>
      </c>
      <c r="U311" s="3">
        <v>128</v>
      </c>
      <c r="V311" s="3" t="str">
        <f>IFERROR(MID(VLOOKUP($B311,Seqs!$A:$B,2,0),W311,1),"")</f>
        <v>H</v>
      </c>
      <c r="W311" s="3">
        <v>162</v>
      </c>
      <c r="X311" s="3" t="str">
        <f>IFERROR(MID(VLOOKUP($B311,Seqs!$A:$B,2,0),Y311,1),"")</f>
        <v>P</v>
      </c>
      <c r="Y311" s="3">
        <v>163</v>
      </c>
      <c r="Z311" s="3" t="str">
        <f>IFERROR(MID(VLOOKUP($B311,Seqs!$A:$B,2,0),AA311,1),"")</f>
        <v>R</v>
      </c>
      <c r="AA311" s="3">
        <v>170</v>
      </c>
      <c r="AB311" s="3" t="str">
        <f>IFERROR(MID(VLOOKUP($B311,Seqs!$A:$B,2,0),AC311,1),"")</f>
        <v>T</v>
      </c>
      <c r="AC311" s="3">
        <v>171</v>
      </c>
      <c r="AD311" s="3" t="str">
        <f>IFERROR(MID(VLOOKUP($B311,Seqs!$A:$B,2,0),AE311,1),"")</f>
        <v>G</v>
      </c>
      <c r="AE311" s="3">
        <v>197</v>
      </c>
      <c r="AF311" s="3" t="str">
        <f>IFERROR(MID(VLOOKUP($B311,Seqs!$A:$B,2,0),AG311,1),"")</f>
        <v>C</v>
      </c>
      <c r="AG311" s="3">
        <v>210</v>
      </c>
      <c r="AH311" s="3" t="str">
        <f>IFERROR(MID(VLOOKUP($B311,Seqs!$A:$B,2,0),AI311,1),"")</f>
        <v>L</v>
      </c>
      <c r="AI311" s="3">
        <v>212</v>
      </c>
      <c r="AJ311" s="3" t="str">
        <f>IFERROR(MID(VLOOKUP($B311,Seqs!$A:$B,2,0),AK311,1),"")</f>
        <v>Y</v>
      </c>
      <c r="AK311" s="3">
        <v>219</v>
      </c>
      <c r="AL311" s="3" t="str">
        <f>IFERROR(MID(VLOOKUP($B311,Seqs!$A:$B,2,0),AM311,1),"")</f>
        <v>V</v>
      </c>
      <c r="AM311" s="3">
        <v>256</v>
      </c>
      <c r="AN311" s="3" t="str">
        <f>IFERROR(MID(VLOOKUP($B311,Seqs!$A:$B,2,0),AO311,1),"")</f>
        <v>S</v>
      </c>
      <c r="AO311" s="3">
        <v>262</v>
      </c>
      <c r="AP311" s="3" t="str">
        <f>IFERROR(MID(VLOOKUP($B311,Seqs!$A:$B,2,0),AQ311,1),"")</f>
        <v>L</v>
      </c>
      <c r="AQ311" s="3">
        <v>299</v>
      </c>
      <c r="AR311" s="3" t="str">
        <f>IFERROR(MID(VLOOKUP($B311,Seqs!$A:$B,2,0),AS311,1),"")</f>
        <v>A</v>
      </c>
      <c r="AS311" s="3">
        <v>308</v>
      </c>
      <c r="AT311" s="3" t="str">
        <f>IFERROR(MID(VLOOKUP($B311,Seqs!$A:$B,2,0),AU311,1),"")</f>
        <v>L</v>
      </c>
      <c r="AU311" s="3">
        <v>333</v>
      </c>
      <c r="AV311" s="3" t="str">
        <f>IFERROR(MID(VLOOKUP($B311,Seqs!$A:$B,2,0),AW311,1),"")</f>
        <v>D</v>
      </c>
      <c r="AW311" s="3">
        <v>334</v>
      </c>
      <c r="AX311" s="3" t="str">
        <f>IFERROR(MID(VLOOKUP($B311,Seqs!$A:$B,2,0),AY311,1),"")</f>
        <v>F</v>
      </c>
      <c r="AY311" s="3">
        <v>346</v>
      </c>
      <c r="AZ311" s="77" t="str">
        <f>VLOOKUP(B311,Classification!A:D,2,0)</f>
        <v>A</v>
      </c>
      <c r="BA311" s="94" t="str">
        <f>VLOOKUP(B311,Classification!A:D,4,0)</f>
        <v>Opioid</v>
      </c>
      <c r="BB311" s="27" t="b">
        <f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23">
        <f>_xlfn.AGGREGATE(9,6,CH311:CS311)-_xlfn.AGGREGATE(9,6,BV311:CG311)+12</f>
        <v>252</v>
      </c>
      <c r="BD311" s="2" t="s">
        <v>1372</v>
      </c>
      <c r="BE311" s="3" t="s">
        <v>1370</v>
      </c>
      <c r="BF311" s="118">
        <v>3.3</v>
      </c>
      <c r="BG311" s="49" t="s">
        <v>1277</v>
      </c>
      <c r="BH311" s="49" t="s">
        <v>1277</v>
      </c>
      <c r="BI311" s="1"/>
      <c r="BJ311" s="70" t="s">
        <v>1283</v>
      </c>
      <c r="BK311" s="57" t="s">
        <v>1283</v>
      </c>
      <c r="BL311" s="57" t="s">
        <v>1283</v>
      </c>
      <c r="BM311" s="57" t="s">
        <v>1283</v>
      </c>
      <c r="BN311" s="57" t="s">
        <v>1283</v>
      </c>
      <c r="BO311" s="57" t="s">
        <v>1283</v>
      </c>
      <c r="BP311" s="57" t="s">
        <v>1283</v>
      </c>
      <c r="BQ311" s="57" t="s">
        <v>1283</v>
      </c>
      <c r="BR311" s="57" t="s">
        <v>1283</v>
      </c>
      <c r="BS311" s="57" t="s">
        <v>1283</v>
      </c>
      <c r="BT311" s="57" t="s">
        <v>1283</v>
      </c>
      <c r="BU311" s="57" t="s">
        <v>1283</v>
      </c>
      <c r="BV311" s="70">
        <f>E311</f>
        <v>63</v>
      </c>
      <c r="BW311" s="71">
        <f>I311</f>
        <v>88</v>
      </c>
      <c r="BX311" s="72">
        <f>M311</f>
        <v>92</v>
      </c>
      <c r="BY311" s="71">
        <f>Q311</f>
        <v>123</v>
      </c>
      <c r="BZ311" s="72">
        <f>U311</f>
        <v>128</v>
      </c>
      <c r="CA311" s="71">
        <f>Y311</f>
        <v>163</v>
      </c>
      <c r="CB311" s="72">
        <f>AC311</f>
        <v>171</v>
      </c>
      <c r="CC311" s="71">
        <f>AG311</f>
        <v>210</v>
      </c>
      <c r="CD311" s="72">
        <f>AK311</f>
        <v>219</v>
      </c>
      <c r="CE311" s="71">
        <f>AO311</f>
        <v>262</v>
      </c>
      <c r="CF311" s="72">
        <f>AS311</f>
        <v>308</v>
      </c>
      <c r="CG311" s="71">
        <f>AW311</f>
        <v>334</v>
      </c>
      <c r="CH311" s="70">
        <f>G311</f>
        <v>87</v>
      </c>
      <c r="CI311" s="71">
        <f>K311</f>
        <v>91</v>
      </c>
      <c r="CJ311" s="72">
        <f>O311</f>
        <v>122</v>
      </c>
      <c r="CK311" s="72">
        <f>S311</f>
        <v>126</v>
      </c>
      <c r="CL311" s="72">
        <f>W311</f>
        <v>162</v>
      </c>
      <c r="CM311" s="72">
        <f>AA311</f>
        <v>170</v>
      </c>
      <c r="CN311" s="72">
        <f>AE311</f>
        <v>197</v>
      </c>
      <c r="CO311" s="72">
        <f>AI311</f>
        <v>212</v>
      </c>
      <c r="CP311" s="72">
        <f>AM311</f>
        <v>256</v>
      </c>
      <c r="CQ311" s="72">
        <f>AQ311</f>
        <v>299</v>
      </c>
      <c r="CR311" s="72">
        <f>AU311</f>
        <v>333</v>
      </c>
      <c r="CS311" s="72">
        <f>AY311</f>
        <v>346</v>
      </c>
      <c r="CT311" s="23">
        <f>M311-K311</f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290"/>
        <v>oprm_mouse__wt</v>
      </c>
      <c r="B312" s="3" t="s">
        <v>913</v>
      </c>
      <c r="C312" s="3" t="s">
        <v>100</v>
      </c>
      <c r="D312" s="3" t="str">
        <f>IFERROR(MID(VLOOKUP($B312,Seqs!$A:$B,2,0),E312,1),"")</f>
        <v>M</v>
      </c>
      <c r="E312" s="3">
        <v>65</v>
      </c>
      <c r="F312" s="3" t="str">
        <f>IFERROR(MID(VLOOKUP($B312,Seqs!$A:$B,2,0),G312,1),"")</f>
        <v>Y</v>
      </c>
      <c r="G312" s="3">
        <v>96</v>
      </c>
      <c r="H312" s="3" t="str">
        <f>IFERROR(MID(VLOOKUP($B312,Seqs!$A:$B,2,0),I312,1),"")</f>
        <v>T</v>
      </c>
      <c r="I312" s="23">
        <v>97</v>
      </c>
      <c r="J312" s="3" t="str">
        <f>IFERROR(MID(VLOOKUP($B312,Seqs!$A:$B,2,0),K312,1),"")</f>
        <v>K</v>
      </c>
      <c r="K312" s="23">
        <v>100</v>
      </c>
      <c r="L312" s="3" t="str">
        <f>IFERROR(MID(VLOOKUP($B312,Seqs!$A:$B,2,0),M312,1),"")</f>
        <v>T</v>
      </c>
      <c r="M312" s="3">
        <v>101</v>
      </c>
      <c r="N312" s="3" t="str">
        <f>IFERROR(MID(VLOOKUP($B312,Seqs!$A:$B,2,0),O312,1),"")</f>
        <v>G</v>
      </c>
      <c r="O312" s="105">
        <v>131</v>
      </c>
      <c r="P312" s="3" t="str">
        <f>IFERROR(MID(VLOOKUP($B312,Seqs!$A:$B,2,0),Q312,1),"")</f>
        <v>T</v>
      </c>
      <c r="Q312" s="3">
        <v>132</v>
      </c>
      <c r="R312" s="3" t="str">
        <f>IFERROR(MID(VLOOKUP($B312,Seqs!$A:$B,2,0),S312,1),"")</f>
        <v>F</v>
      </c>
      <c r="S312" s="3">
        <v>135</v>
      </c>
      <c r="T312" s="3" t="str">
        <f>IFERROR(MID(VLOOKUP($B312,Seqs!$A:$B,2,0),U312,1),"")</f>
        <v>G</v>
      </c>
      <c r="U312" s="3">
        <v>136</v>
      </c>
      <c r="V312" s="3" t="str">
        <f>IFERROR(MID(VLOOKUP($B312,Seqs!$A:$B,2,0),W312,1),"")</f>
        <v>H</v>
      </c>
      <c r="W312" s="3">
        <v>171</v>
      </c>
      <c r="X312" s="3" t="str">
        <f>IFERROR(MID(VLOOKUP($B312,Seqs!$A:$B,2,0),Y312,1),"")</f>
        <v>P</v>
      </c>
      <c r="Y312" s="3">
        <v>172</v>
      </c>
      <c r="Z312" s="3" t="str">
        <f>IFERROR(MID(VLOOKUP($B312,Seqs!$A:$B,2,0),AA312,1),"")</f>
        <v>R</v>
      </c>
      <c r="AA312" s="3">
        <v>179</v>
      </c>
      <c r="AB312" s="3" t="str">
        <f>IFERROR(MID(VLOOKUP($B312,Seqs!$A:$B,2,0),AC312,1),"")</f>
        <v>T</v>
      </c>
      <c r="AC312" s="3">
        <v>180</v>
      </c>
      <c r="AD312" s="3" t="str">
        <f>IFERROR(MID(VLOOKUP($B312,Seqs!$A:$B,2,0),AE312,1),"")</f>
        <v>A</v>
      </c>
      <c r="AE312" s="3">
        <v>206</v>
      </c>
      <c r="AF312" s="3" t="str">
        <f>IFERROR(MID(VLOOKUP($B312,Seqs!$A:$B,2,0),AG312,1),"")</f>
        <v>C</v>
      </c>
      <c r="AG312" s="3">
        <v>217</v>
      </c>
      <c r="AH312" s="3" t="str">
        <f>IFERROR(MID(VLOOKUP($B312,Seqs!$A:$B,2,0),AI312,1),"")</f>
        <v>L</v>
      </c>
      <c r="AI312" s="3">
        <v>219</v>
      </c>
      <c r="AJ312" s="3" t="str">
        <f>IFERROR(MID(VLOOKUP($B312,Seqs!$A:$B,2,0),AK312,1),"")</f>
        <v>P</v>
      </c>
      <c r="AK312" s="105">
        <v>224</v>
      </c>
      <c r="AL312" s="3" t="str">
        <f>IFERROR(MID(VLOOKUP($B312,Seqs!$A:$B,2,0),AM312,1),"")</f>
        <v>V</v>
      </c>
      <c r="AM312" s="3">
        <v>262</v>
      </c>
      <c r="AN312" s="3" t="str">
        <f>IFERROR(MID(VLOOKUP($B312,Seqs!$A:$B,2,0),AO312,1),"")</f>
        <v>S</v>
      </c>
      <c r="AO312" s="3">
        <v>268</v>
      </c>
      <c r="AP312" s="3" t="str">
        <f>IFERROR(MID(VLOOKUP($B312,Seqs!$A:$B,2,0),AQ312,1),"")</f>
        <v>I</v>
      </c>
      <c r="AQ312" s="3">
        <v>306</v>
      </c>
      <c r="AR312" s="3" t="str">
        <f>IFERROR(MID(VLOOKUP($B312,Seqs!$A:$B,2,0),AS312,1),"")</f>
        <v>T</v>
      </c>
      <c r="AS312" s="3">
        <v>311</v>
      </c>
      <c r="AT312" s="3" t="str">
        <f>IFERROR(MID(VLOOKUP($B312,Seqs!$A:$B,2,0),AU312,1),"")</f>
        <v>L</v>
      </c>
      <c r="AU312" s="3">
        <v>339</v>
      </c>
      <c r="AV312" s="3" t="str">
        <f>IFERROR(MID(VLOOKUP($B312,Seqs!$A:$B,2,0),AW312,1),"")</f>
        <v>D</v>
      </c>
      <c r="AW312" s="3">
        <v>340</v>
      </c>
      <c r="AX312" s="3" t="str">
        <f>IFERROR(MID(VLOOKUP($B312,Seqs!$A:$B,2,0),AY312,1),"")</f>
        <v>I</v>
      </c>
      <c r="AY312" s="3">
        <v>352</v>
      </c>
      <c r="AZ312" s="77" t="str">
        <f>VLOOKUP(B312,Classification!A:D,2,0)</f>
        <v>A</v>
      </c>
      <c r="BA312" s="94" t="str">
        <f>VLOOKUP(B312,Classification!A:D,4,0)</f>
        <v>Opioid</v>
      </c>
      <c r="BB312" s="27" t="b">
        <f t="shared" si="2291"/>
        <v>1</v>
      </c>
      <c r="BC312" s="23">
        <f t="shared" si="2012"/>
        <v>265</v>
      </c>
      <c r="BD312" s="56" t="s">
        <v>23</v>
      </c>
      <c r="BE312" s="3" t="s">
        <v>23</v>
      </c>
      <c r="BF312" s="118" t="s">
        <v>23</v>
      </c>
      <c r="BG312" s="49" t="s">
        <v>1368</v>
      </c>
      <c r="BH312" s="49" t="s">
        <v>1373</v>
      </c>
      <c r="BI312" s="1"/>
      <c r="BJ312" s="70" t="s">
        <v>1283</v>
      </c>
      <c r="BK312" s="57" t="s">
        <v>1283</v>
      </c>
      <c r="BL312" s="57" t="s">
        <v>1283</v>
      </c>
      <c r="BM312" s="57" t="s">
        <v>1283</v>
      </c>
      <c r="BN312" s="57" t="s">
        <v>1283</v>
      </c>
      <c r="BO312" s="57" t="s">
        <v>1283</v>
      </c>
      <c r="BP312" s="57" t="s">
        <v>1283</v>
      </c>
      <c r="BQ312" s="57" t="s">
        <v>1283</v>
      </c>
      <c r="BR312" s="57" t="s">
        <v>1283</v>
      </c>
      <c r="BS312" s="57" t="s">
        <v>1283</v>
      </c>
      <c r="BT312" s="57" t="s">
        <v>1283</v>
      </c>
      <c r="BU312" s="57" t="s">
        <v>1283</v>
      </c>
      <c r="BV312" s="70">
        <f t="shared" si="2013"/>
        <v>65</v>
      </c>
      <c r="BW312" s="71">
        <f t="shared" si="2014"/>
        <v>97</v>
      </c>
      <c r="BX312" s="72">
        <f t="shared" si="2015"/>
        <v>101</v>
      </c>
      <c r="BY312" s="71">
        <f t="shared" si="2016"/>
        <v>132</v>
      </c>
      <c r="BZ312" s="72">
        <f t="shared" si="2017"/>
        <v>136</v>
      </c>
      <c r="CA312" s="71">
        <f t="shared" si="2018"/>
        <v>172</v>
      </c>
      <c r="CB312" s="72">
        <f t="shared" si="2019"/>
        <v>180</v>
      </c>
      <c r="CC312" s="71">
        <f t="shared" si="2020"/>
        <v>217</v>
      </c>
      <c r="CD312" s="72">
        <f t="shared" si="2021"/>
        <v>224</v>
      </c>
      <c r="CE312" s="71">
        <f t="shared" si="2022"/>
        <v>268</v>
      </c>
      <c r="CF312" s="72">
        <f t="shared" si="2023"/>
        <v>311</v>
      </c>
      <c r="CG312" s="71">
        <f t="shared" si="2024"/>
        <v>340</v>
      </c>
      <c r="CH312" s="70">
        <f t="shared" si="2025"/>
        <v>96</v>
      </c>
      <c r="CI312" s="71">
        <f t="shared" si="2026"/>
        <v>100</v>
      </c>
      <c r="CJ312" s="72">
        <f t="shared" si="2027"/>
        <v>131</v>
      </c>
      <c r="CK312" s="72">
        <f t="shared" si="2028"/>
        <v>135</v>
      </c>
      <c r="CL312" s="72">
        <f t="shared" si="2029"/>
        <v>171</v>
      </c>
      <c r="CM312" s="72">
        <f t="shared" si="2030"/>
        <v>179</v>
      </c>
      <c r="CN312" s="72">
        <f t="shared" si="2031"/>
        <v>206</v>
      </c>
      <c r="CO312" s="72">
        <f t="shared" si="2032"/>
        <v>219</v>
      </c>
      <c r="CP312" s="72">
        <f t="shared" si="2033"/>
        <v>262</v>
      </c>
      <c r="CQ312" s="72">
        <f t="shared" si="2034"/>
        <v>306</v>
      </c>
      <c r="CR312" s="72">
        <f t="shared" si="2035"/>
        <v>339</v>
      </c>
      <c r="CS312" s="72">
        <f t="shared" si="2036"/>
        <v>352</v>
      </c>
      <c r="CT312" s="23">
        <f t="shared" si="2037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2290"/>
        <v>oprm_mouse_4DKL</v>
      </c>
      <c r="B313" s="3" t="s">
        <v>913</v>
      </c>
      <c r="C313" s="3" t="s">
        <v>65</v>
      </c>
      <c r="D313" s="3" t="str">
        <f>IFERROR(MID(VLOOKUP($B313,Seqs!$A:$B,2,0),E313,1),"")</f>
        <v>M</v>
      </c>
      <c r="E313" s="3">
        <v>65</v>
      </c>
      <c r="F313" s="3" t="str">
        <f>IFERROR(MID(VLOOKUP($B313,Seqs!$A:$B,2,0),G313,1),"")</f>
        <v>Y</v>
      </c>
      <c r="G313" s="3">
        <v>96</v>
      </c>
      <c r="H313" s="3" t="str">
        <f>IFERROR(MID(VLOOKUP($B313,Seqs!$A:$B,2,0),I313,1),"")</f>
        <v>T</v>
      </c>
      <c r="I313" s="23">
        <v>97</v>
      </c>
      <c r="J313" s="3" t="str">
        <f>IFERROR(MID(VLOOKUP($B313,Seqs!$A:$B,2,0),K313,1),"")</f>
        <v>K</v>
      </c>
      <c r="K313" s="23">
        <v>100</v>
      </c>
      <c r="L313" s="3" t="str">
        <f>IFERROR(MID(VLOOKUP($B313,Seqs!$A:$B,2,0),M313,1),"")</f>
        <v>T</v>
      </c>
      <c r="M313" s="3">
        <v>101</v>
      </c>
      <c r="N313" s="3" t="str">
        <f>IFERROR(MID(VLOOKUP($B313,Seqs!$A:$B,2,0),O313,1),"")</f>
        <v>G</v>
      </c>
      <c r="O313" s="3">
        <v>131</v>
      </c>
      <c r="P313" s="3" t="str">
        <f>IFERROR(MID(VLOOKUP($B313,Seqs!$A:$B,2,0),Q313,1),"")</f>
        <v>T</v>
      </c>
      <c r="Q313" s="3">
        <v>132</v>
      </c>
      <c r="R313" s="3" t="str">
        <f>IFERROR(MID(VLOOKUP($B313,Seqs!$A:$B,2,0),S313,1),"")</f>
        <v>F</v>
      </c>
      <c r="S313" s="3">
        <v>135</v>
      </c>
      <c r="T313" s="3" t="str">
        <f>IFERROR(MID(VLOOKUP($B313,Seqs!$A:$B,2,0),U313,1),"")</f>
        <v>G</v>
      </c>
      <c r="U313" s="3">
        <v>136</v>
      </c>
      <c r="V313" s="3" t="str">
        <f>IFERROR(MID(VLOOKUP($B313,Seqs!$A:$B,2,0),W313,1),"")</f>
        <v>H</v>
      </c>
      <c r="W313" s="3">
        <v>171</v>
      </c>
      <c r="X313" s="3" t="str">
        <f>IFERROR(MID(VLOOKUP($B313,Seqs!$A:$B,2,0),Y313,1),"")</f>
        <v>P</v>
      </c>
      <c r="Y313" s="3">
        <v>172</v>
      </c>
      <c r="Z313" s="3" t="str">
        <f>IFERROR(MID(VLOOKUP($B313,Seqs!$A:$B,2,0),AA313,1),"")</f>
        <v>R</v>
      </c>
      <c r="AA313" s="3">
        <v>179</v>
      </c>
      <c r="AB313" s="3" t="str">
        <f>IFERROR(MID(VLOOKUP($B313,Seqs!$A:$B,2,0),AC313,1),"")</f>
        <v>T</v>
      </c>
      <c r="AC313" s="3">
        <v>180</v>
      </c>
      <c r="AD313" s="3" t="str">
        <f>IFERROR(MID(VLOOKUP($B313,Seqs!$A:$B,2,0),AE313,1),"")</f>
        <v>A</v>
      </c>
      <c r="AE313" s="3">
        <v>206</v>
      </c>
      <c r="AF313" s="3" t="str">
        <f>IFERROR(MID(VLOOKUP($B313,Seqs!$A:$B,2,0),AG313,1),"")</f>
        <v>C</v>
      </c>
      <c r="AG313" s="3">
        <v>217</v>
      </c>
      <c r="AH313" s="3" t="str">
        <f>IFERROR(MID(VLOOKUP($B313,Seqs!$A:$B,2,0),AI313,1),"")</f>
        <v>L</v>
      </c>
      <c r="AI313" s="3">
        <v>219</v>
      </c>
      <c r="AJ313" s="3" t="str">
        <f>IFERROR(MID(VLOOKUP($B313,Seqs!$A:$B,2,0),AK313,1),"")</f>
        <v>P</v>
      </c>
      <c r="AK313" s="3">
        <v>224</v>
      </c>
      <c r="AL313" s="3" t="str">
        <f>IFERROR(MID(VLOOKUP($B313,Seqs!$A:$B,2,0),AM313,1),"")</f>
        <v>L</v>
      </c>
      <c r="AM313" s="3">
        <v>257</v>
      </c>
      <c r="AN313" s="3" t="str">
        <f>IFERROR(MID(VLOOKUP($B313,Seqs!$A:$B,2,0),AO313,1),"")</f>
        <v>N</v>
      </c>
      <c r="AO313" s="3">
        <v>274</v>
      </c>
      <c r="AP313" s="3" t="str">
        <f>IFERROR(MID(VLOOKUP($B313,Seqs!$A:$B,2,0),AQ313,1),"")</f>
        <v>I</v>
      </c>
      <c r="AQ313" s="3">
        <v>306</v>
      </c>
      <c r="AR313" s="3" t="str">
        <f>IFERROR(MID(VLOOKUP($B313,Seqs!$A:$B,2,0),AS313,1),"")</f>
        <v>T</v>
      </c>
      <c r="AS313" s="3">
        <v>311</v>
      </c>
      <c r="AT313" s="3" t="str">
        <f>IFERROR(MID(VLOOKUP($B313,Seqs!$A:$B,2,0),AU313,1),"")</f>
        <v>L</v>
      </c>
      <c r="AU313" s="3">
        <v>339</v>
      </c>
      <c r="AV313" s="3" t="str">
        <f>IFERROR(MID(VLOOKUP($B313,Seqs!$A:$B,2,0),AW313,1),"")</f>
        <v>D</v>
      </c>
      <c r="AW313" s="3">
        <v>340</v>
      </c>
      <c r="AX313" s="3" t="str">
        <f>IFERROR(MID(VLOOKUP($B313,Seqs!$A:$B,2,0),AY313,1),"")</f>
        <v>I</v>
      </c>
      <c r="AY313" s="3">
        <v>352</v>
      </c>
      <c r="AZ313" s="77" t="str">
        <f>VLOOKUP(B313,Classification!A:D,2,0)</f>
        <v>A</v>
      </c>
      <c r="BA313" s="94" t="str">
        <f>VLOOKUP(B313,Classification!A:D,4,0)</f>
        <v>Opioid</v>
      </c>
      <c r="BB313" s="27" t="b">
        <f t="shared" si="2291"/>
        <v>1</v>
      </c>
      <c r="BC313" s="23">
        <f t="shared" si="2012"/>
        <v>254</v>
      </c>
      <c r="BD313" s="2" t="s">
        <v>1372</v>
      </c>
      <c r="BE313" s="3" t="s">
        <v>1370</v>
      </c>
      <c r="BF313" s="118">
        <v>2.8</v>
      </c>
      <c r="BG313" s="49" t="s">
        <v>1373</v>
      </c>
      <c r="BH313" s="49" t="s">
        <v>1373</v>
      </c>
      <c r="BI313" s="1"/>
      <c r="BJ313" s="70" t="s">
        <v>1283</v>
      </c>
      <c r="BK313" s="57" t="s">
        <v>1283</v>
      </c>
      <c r="BL313" s="57" t="s">
        <v>1283</v>
      </c>
      <c r="BM313" s="57" t="s">
        <v>1283</v>
      </c>
      <c r="BN313" s="57" t="s">
        <v>1283</v>
      </c>
      <c r="BO313" s="57" t="s">
        <v>1283</v>
      </c>
      <c r="BP313" s="57" t="s">
        <v>1283</v>
      </c>
      <c r="BQ313" s="57" t="s">
        <v>1283</v>
      </c>
      <c r="BR313" s="57" t="s">
        <v>1283</v>
      </c>
      <c r="BS313" s="57" t="s">
        <v>1283</v>
      </c>
      <c r="BT313" s="57" t="s">
        <v>1283</v>
      </c>
      <c r="BU313" s="57" t="s">
        <v>1283</v>
      </c>
      <c r="BV313" s="70">
        <f t="shared" si="2013"/>
        <v>65</v>
      </c>
      <c r="BW313" s="71">
        <f t="shared" si="2014"/>
        <v>97</v>
      </c>
      <c r="BX313" s="72">
        <f t="shared" si="2015"/>
        <v>101</v>
      </c>
      <c r="BY313" s="71">
        <f t="shared" si="2016"/>
        <v>132</v>
      </c>
      <c r="BZ313" s="72">
        <f t="shared" si="2017"/>
        <v>136</v>
      </c>
      <c r="CA313" s="71">
        <f t="shared" si="2018"/>
        <v>172</v>
      </c>
      <c r="CB313" s="72">
        <f t="shared" si="2019"/>
        <v>180</v>
      </c>
      <c r="CC313" s="71">
        <f t="shared" si="2020"/>
        <v>217</v>
      </c>
      <c r="CD313" s="72">
        <f t="shared" si="2021"/>
        <v>224</v>
      </c>
      <c r="CE313" s="71">
        <f t="shared" si="2022"/>
        <v>274</v>
      </c>
      <c r="CF313" s="72">
        <f t="shared" si="2023"/>
        <v>311</v>
      </c>
      <c r="CG313" s="71">
        <f t="shared" si="2024"/>
        <v>340</v>
      </c>
      <c r="CH313" s="70">
        <f t="shared" si="2025"/>
        <v>96</v>
      </c>
      <c r="CI313" s="71">
        <f t="shared" si="2026"/>
        <v>100</v>
      </c>
      <c r="CJ313" s="72">
        <f t="shared" si="2027"/>
        <v>131</v>
      </c>
      <c r="CK313" s="72">
        <f t="shared" si="2028"/>
        <v>135</v>
      </c>
      <c r="CL313" s="72">
        <f t="shared" si="2029"/>
        <v>171</v>
      </c>
      <c r="CM313" s="72">
        <f t="shared" si="2030"/>
        <v>179</v>
      </c>
      <c r="CN313" s="72">
        <f t="shared" si="2031"/>
        <v>206</v>
      </c>
      <c r="CO313" s="72">
        <f t="shared" si="2032"/>
        <v>219</v>
      </c>
      <c r="CP313" s="72">
        <f t="shared" si="2033"/>
        <v>257</v>
      </c>
      <c r="CQ313" s="72">
        <f t="shared" si="2034"/>
        <v>306</v>
      </c>
      <c r="CR313" s="72">
        <f t="shared" si="2035"/>
        <v>339</v>
      </c>
      <c r="CS313" s="72">
        <f t="shared" si="2036"/>
        <v>352</v>
      </c>
      <c r="CT313" s="23">
        <f t="shared" si="2037"/>
        <v>1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2290"/>
        <v>oprm_mouse_5C1M</v>
      </c>
      <c r="B314" s="3" t="s">
        <v>913</v>
      </c>
      <c r="C314" s="3" t="s">
        <v>84</v>
      </c>
      <c r="D314" s="3" t="str">
        <f>IFERROR(MID(VLOOKUP($B314,Seqs!$A:$B,2,0),E314,1),"")</f>
        <v>M</v>
      </c>
      <c r="E314" s="3">
        <v>65</v>
      </c>
      <c r="F314" s="3" t="str">
        <f>IFERROR(MID(VLOOKUP($B314,Seqs!$A:$B,2,0),G314,1),"")</f>
        <v>Y</v>
      </c>
      <c r="G314" s="3">
        <v>96</v>
      </c>
      <c r="H314" s="3" t="str">
        <f>IFERROR(MID(VLOOKUP($B314,Seqs!$A:$B,2,0),I314,1),"")</f>
        <v/>
      </c>
      <c r="I314" s="23" t="s">
        <v>23</v>
      </c>
      <c r="J314" s="3" t="str">
        <f>IFERROR(MID(VLOOKUP($B314,Seqs!$A:$B,2,0),K314,1),"")</f>
        <v/>
      </c>
      <c r="K314" s="23" t="s">
        <v>23</v>
      </c>
      <c r="L314" s="3" t="str">
        <f>IFERROR(MID(VLOOKUP($B314,Seqs!$A:$B,2,0),M314,1),"")</f>
        <v>T</v>
      </c>
      <c r="M314" s="3">
        <v>101</v>
      </c>
      <c r="N314" s="3" t="str">
        <f>IFERROR(MID(VLOOKUP($B314,Seqs!$A:$B,2,0),O314,1),"")</f>
        <v>G</v>
      </c>
      <c r="O314" s="3">
        <v>131</v>
      </c>
      <c r="P314" s="3" t="str">
        <f>IFERROR(MID(VLOOKUP($B314,Seqs!$A:$B,2,0),Q314,1),"")</f>
        <v>T</v>
      </c>
      <c r="Q314" s="3">
        <v>132</v>
      </c>
      <c r="R314" s="3" t="str">
        <f>IFERROR(MID(VLOOKUP($B314,Seqs!$A:$B,2,0),S314,1),"")</f>
        <v>F</v>
      </c>
      <c r="S314" s="3">
        <v>135</v>
      </c>
      <c r="T314" s="3" t="str">
        <f>IFERROR(MID(VLOOKUP($B314,Seqs!$A:$B,2,0),U314,1),"")</f>
        <v>G</v>
      </c>
      <c r="U314" s="3">
        <v>136</v>
      </c>
      <c r="V314" s="3" t="str">
        <f>IFERROR(MID(VLOOKUP($B314,Seqs!$A:$B,2,0),W314,1),"")</f>
        <v>H</v>
      </c>
      <c r="W314" s="3">
        <v>171</v>
      </c>
      <c r="X314" s="3" t="str">
        <f>IFERROR(MID(VLOOKUP($B314,Seqs!$A:$B,2,0),Y314,1),"")</f>
        <v>P</v>
      </c>
      <c r="Y314" s="3">
        <v>172</v>
      </c>
      <c r="Z314" s="3" t="str">
        <f>IFERROR(MID(VLOOKUP($B314,Seqs!$A:$B,2,0),AA314,1),"")</f>
        <v>R</v>
      </c>
      <c r="AA314" s="3">
        <v>179</v>
      </c>
      <c r="AB314" s="3" t="str">
        <f>IFERROR(MID(VLOOKUP($B314,Seqs!$A:$B,2,0),AC314,1),"")</f>
        <v>T</v>
      </c>
      <c r="AC314" s="3">
        <v>180</v>
      </c>
      <c r="AD314" s="3" t="str">
        <f>IFERROR(MID(VLOOKUP($B314,Seqs!$A:$B,2,0),AE314,1),"")</f>
        <v>A</v>
      </c>
      <c r="AE314" s="3">
        <v>206</v>
      </c>
      <c r="AF314" s="3" t="str">
        <f>IFERROR(MID(VLOOKUP($B314,Seqs!$A:$B,2,0),AG314,1),"")</f>
        <v>C</v>
      </c>
      <c r="AG314" s="3">
        <v>217</v>
      </c>
      <c r="AH314" s="3" t="str">
        <f>IFERROR(MID(VLOOKUP($B314,Seqs!$A:$B,2,0),AI314,1),"")</f>
        <v>L</v>
      </c>
      <c r="AI314" s="3">
        <v>219</v>
      </c>
      <c r="AJ314" s="3" t="str">
        <f>IFERROR(MID(VLOOKUP($B314,Seqs!$A:$B,2,0),AK314,1),"")</f>
        <v>P</v>
      </c>
      <c r="AK314" s="3">
        <v>224</v>
      </c>
      <c r="AL314" s="3" t="str">
        <f>IFERROR(MID(VLOOKUP($B314,Seqs!$A:$B,2,0),AM314,1),"")</f>
        <v>V</v>
      </c>
      <c r="AM314" s="3">
        <v>262</v>
      </c>
      <c r="AN314" s="3" t="str">
        <f>IFERROR(MID(VLOOKUP($B314,Seqs!$A:$B,2,0),AO314,1),"")</f>
        <v>S</v>
      </c>
      <c r="AO314" s="3">
        <v>268</v>
      </c>
      <c r="AP314" s="3" t="str">
        <f>IFERROR(MID(VLOOKUP($B314,Seqs!$A:$B,2,0),AQ314,1),"")</f>
        <v>I</v>
      </c>
      <c r="AQ314" s="3">
        <v>306</v>
      </c>
      <c r="AR314" s="3" t="str">
        <f>IFERROR(MID(VLOOKUP($B314,Seqs!$A:$B,2,0),AS314,1),"")</f>
        <v>T</v>
      </c>
      <c r="AS314" s="3">
        <v>311</v>
      </c>
      <c r="AT314" s="3" t="str">
        <f>IFERROR(MID(VLOOKUP($B314,Seqs!$A:$B,2,0),AU314,1),"")</f>
        <v>P</v>
      </c>
      <c r="AU314" s="3">
        <v>333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A</v>
      </c>
      <c r="BA314" s="94" t="str">
        <f>VLOOKUP(B314,Classification!A:D,4,0)</f>
        <v>Opioid</v>
      </c>
      <c r="BB314" s="27" t="b">
        <f t="shared" si="2291"/>
        <v>1</v>
      </c>
      <c r="BC314" s="23">
        <f t="shared" si="2012"/>
        <v>244</v>
      </c>
      <c r="BD314" s="5" t="s">
        <v>1371</v>
      </c>
      <c r="BE314" s="3" t="s">
        <v>1287</v>
      </c>
      <c r="BF314" s="118">
        <v>2.1</v>
      </c>
      <c r="BG314" s="49" t="s">
        <v>1373</v>
      </c>
      <c r="BH314" s="49" t="s">
        <v>1373</v>
      </c>
      <c r="BI314" s="1"/>
      <c r="BJ314" s="70" t="s">
        <v>1283</v>
      </c>
      <c r="BK314" s="57" t="s">
        <v>1283</v>
      </c>
      <c r="BL314" s="57" t="s">
        <v>1283</v>
      </c>
      <c r="BM314" s="57" t="s">
        <v>1283</v>
      </c>
      <c r="BN314" s="57" t="s">
        <v>1283</v>
      </c>
      <c r="BO314" s="57" t="s">
        <v>1283</v>
      </c>
      <c r="BP314" s="57" t="s">
        <v>1283</v>
      </c>
      <c r="BQ314" s="57" t="s">
        <v>1283</v>
      </c>
      <c r="BR314" s="57" t="s">
        <v>1283</v>
      </c>
      <c r="BS314" s="57" t="s">
        <v>1283</v>
      </c>
      <c r="BT314" s="57" t="s">
        <v>1283</v>
      </c>
      <c r="BU314" s="57" t="s">
        <v>1283</v>
      </c>
      <c r="BV314" s="70">
        <f t="shared" si="2013"/>
        <v>65</v>
      </c>
      <c r="BW314" s="71" t="str">
        <f t="shared" si="2014"/>
        <v>-</v>
      </c>
      <c r="BX314" s="72">
        <f t="shared" si="2015"/>
        <v>101</v>
      </c>
      <c r="BY314" s="71">
        <f t="shared" si="2016"/>
        <v>132</v>
      </c>
      <c r="BZ314" s="72">
        <f t="shared" si="2017"/>
        <v>136</v>
      </c>
      <c r="CA314" s="71">
        <f t="shared" si="2018"/>
        <v>172</v>
      </c>
      <c r="CB314" s="72">
        <f t="shared" si="2019"/>
        <v>180</v>
      </c>
      <c r="CC314" s="71">
        <f t="shared" si="2020"/>
        <v>217</v>
      </c>
      <c r="CD314" s="72">
        <f t="shared" si="2021"/>
        <v>224</v>
      </c>
      <c r="CE314" s="71">
        <f t="shared" si="2022"/>
        <v>268</v>
      </c>
      <c r="CF314" s="72">
        <f t="shared" si="2023"/>
        <v>311</v>
      </c>
      <c r="CG314" s="71" t="str">
        <f t="shared" si="2024"/>
        <v>-</v>
      </c>
      <c r="CH314" s="70">
        <f t="shared" si="2025"/>
        <v>96</v>
      </c>
      <c r="CI314" s="71" t="str">
        <f t="shared" si="2026"/>
        <v>-</v>
      </c>
      <c r="CJ314" s="72">
        <f t="shared" si="2027"/>
        <v>131</v>
      </c>
      <c r="CK314" s="72">
        <f t="shared" si="2028"/>
        <v>135</v>
      </c>
      <c r="CL314" s="72">
        <f t="shared" si="2029"/>
        <v>171</v>
      </c>
      <c r="CM314" s="72">
        <f t="shared" si="2030"/>
        <v>179</v>
      </c>
      <c r="CN314" s="72">
        <f t="shared" si="2031"/>
        <v>206</v>
      </c>
      <c r="CO314" s="72">
        <f t="shared" si="2032"/>
        <v>219</v>
      </c>
      <c r="CP314" s="72">
        <f t="shared" si="2033"/>
        <v>262</v>
      </c>
      <c r="CQ314" s="72">
        <f t="shared" si="2034"/>
        <v>306</v>
      </c>
      <c r="CR314" s="72">
        <f t="shared" si="2035"/>
        <v>333</v>
      </c>
      <c r="CS314" s="72" t="str">
        <f t="shared" si="2036"/>
        <v>-</v>
      </c>
      <c r="CT314" s="23" t="e">
        <f t="shared" si="2037"/>
        <v>#VALUE!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>CONCATENATE(B315,"_",C315)</f>
        <v>oprm_mouse_6DDE</v>
      </c>
      <c r="B315" s="3" t="s">
        <v>913</v>
      </c>
      <c r="C315" s="3" t="s">
        <v>1496</v>
      </c>
      <c r="D315" s="3" t="str">
        <f>IFERROR(MID(VLOOKUP($B315,Seqs!$A:$B,2,0),E315,1),"")</f>
        <v>T</v>
      </c>
      <c r="E315" s="3">
        <v>67</v>
      </c>
      <c r="F315" s="3" t="str">
        <f>IFERROR(MID(VLOOKUP($B315,Seqs!$A:$B,2,0),G315,1),"")</f>
        <v>K</v>
      </c>
      <c r="G315" s="3">
        <v>98</v>
      </c>
      <c r="H315" s="3" t="str">
        <f>IFERROR(MID(VLOOKUP($B315,Seqs!$A:$B,2,0),I315,1),"")</f>
        <v/>
      </c>
      <c r="I315" s="23" t="s">
        <v>23</v>
      </c>
      <c r="J315" s="3" t="str">
        <f>IFERROR(MID(VLOOKUP($B315,Seqs!$A:$B,2,0),K315,1),"")</f>
        <v/>
      </c>
      <c r="K315" s="23" t="s">
        <v>23</v>
      </c>
      <c r="L315" s="3" t="str">
        <f>IFERROR(MID(VLOOKUP($B315,Seqs!$A:$B,2,0),M315,1),"")</f>
        <v>A</v>
      </c>
      <c r="M315" s="3">
        <v>102</v>
      </c>
      <c r="N315" s="3" t="str">
        <f>IFERROR(MID(VLOOKUP($B315,Seqs!$A:$B,2,0),O315,1),"")</f>
        <v>G</v>
      </c>
      <c r="O315" s="3">
        <v>131</v>
      </c>
      <c r="P315" s="3" t="str">
        <f>IFERROR(MID(VLOOKUP($B315,Seqs!$A:$B,2,0),Q315,1),"")</f>
        <v>T</v>
      </c>
      <c r="Q315" s="3">
        <v>132</v>
      </c>
      <c r="R315" s="3" t="str">
        <f>IFERROR(MID(VLOOKUP($B315,Seqs!$A:$B,2,0),S315,1),"")</f>
        <v>F</v>
      </c>
      <c r="S315" s="3">
        <v>135</v>
      </c>
      <c r="T315" s="3" t="str">
        <f>IFERROR(MID(VLOOKUP($B315,Seqs!$A:$B,2,0),U315,1),"")</f>
        <v>G</v>
      </c>
      <c r="U315" s="3">
        <v>136</v>
      </c>
      <c r="V315" s="3" t="str">
        <f>IFERROR(MID(VLOOKUP($B315,Seqs!$A:$B,2,0),W315,1),"")</f>
        <v>H</v>
      </c>
      <c r="W315" s="3">
        <v>171</v>
      </c>
      <c r="X315" s="3" t="str">
        <f>IFERROR(MID(VLOOKUP($B315,Seqs!$A:$B,2,0),Y315,1),"")</f>
        <v>P</v>
      </c>
      <c r="Y315" s="3">
        <v>172</v>
      </c>
      <c r="Z315" s="3" t="str">
        <f>IFERROR(MID(VLOOKUP($B315,Seqs!$A:$B,2,0),AA315,1),"")</f>
        <v>R</v>
      </c>
      <c r="AA315" s="3">
        <v>179</v>
      </c>
      <c r="AB315" s="3" t="str">
        <f>IFERROR(MID(VLOOKUP($B315,Seqs!$A:$B,2,0),AC315,1),"")</f>
        <v>T</v>
      </c>
      <c r="AC315" s="3">
        <v>180</v>
      </c>
      <c r="AD315" s="3" t="str">
        <f>IFERROR(MID(VLOOKUP($B315,Seqs!$A:$B,2,0),AE315,1),"")</f>
        <v>F</v>
      </c>
      <c r="AE315" s="3">
        <v>204</v>
      </c>
      <c r="AF315" s="3" t="str">
        <f>IFERROR(MID(VLOOKUP($B315,Seqs!$A:$B,2,0),AG315,1),"")</f>
        <v>C</v>
      </c>
      <c r="AG315" s="3">
        <v>217</v>
      </c>
      <c r="AH315" s="3" t="str">
        <f>IFERROR(MID(VLOOKUP($B315,Seqs!$A:$B,2,0),AI315,1),"")</f>
        <v>L</v>
      </c>
      <c r="AI315" s="3">
        <v>219</v>
      </c>
      <c r="AJ315" s="3" t="str">
        <f>IFERROR(MID(VLOOKUP($B315,Seqs!$A:$B,2,0),AK315,1),"")</f>
        <v>Y</v>
      </c>
      <c r="AK315" s="3">
        <v>227</v>
      </c>
      <c r="AL315" s="3" t="str">
        <f>IFERROR(MID(VLOOKUP($B315,Seqs!$A:$B,2,0),AM315,1),"")</f>
        <v>V</v>
      </c>
      <c r="AM315" s="3">
        <v>262</v>
      </c>
      <c r="AN315" s="3" t="str">
        <f>IFERROR(MID(VLOOKUP($B315,Seqs!$A:$B,2,0),AO315,1),"")</f>
        <v>S</v>
      </c>
      <c r="AO315" s="3">
        <v>268</v>
      </c>
      <c r="AP315" s="3" t="str">
        <f>IFERROR(MID(VLOOKUP($B315,Seqs!$A:$B,2,0),AQ315,1),"")</f>
        <v>I</v>
      </c>
      <c r="AQ315" s="3">
        <v>306</v>
      </c>
      <c r="AR315" s="3" t="str">
        <f>IFERROR(MID(VLOOKUP($B315,Seqs!$A:$B,2,0),AS315,1),"")</f>
        <v>F</v>
      </c>
      <c r="AS315" s="3">
        <v>313</v>
      </c>
      <c r="AT315" s="3" t="str">
        <f>IFERROR(MID(VLOOKUP($B315,Seqs!$A:$B,2,0),AU315,1),"")</f>
        <v>Y</v>
      </c>
      <c r="AU315" s="3">
        <v>336</v>
      </c>
      <c r="AV315" s="3" t="str">
        <f>IFERROR(MID(VLOOKUP($B315,Seqs!$A:$B,2,0),AW315,1),"")</f>
        <v/>
      </c>
      <c r="AW315" s="3" t="s">
        <v>23</v>
      </c>
      <c r="AX315" s="3" t="str">
        <f>IFERROR(MID(VLOOKUP($B315,Seqs!$A:$B,2,0),AY315,1),"")</f>
        <v/>
      </c>
      <c r="AY315" s="3" t="s">
        <v>23</v>
      </c>
      <c r="AZ315" s="77" t="str">
        <f>VLOOKUP(B315,Classification!A:D,2,0)</f>
        <v>A</v>
      </c>
      <c r="BA315" s="94" t="str">
        <f>VLOOKUP(B315,Classification!A:D,4,0)</f>
        <v>Opioid</v>
      </c>
      <c r="BB315" s="27" t="b">
        <f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23">
        <f>_xlfn.AGGREGATE(9,6,CH315:CS315)-_xlfn.AGGREGATE(9,6,BV315:CG315)+12</f>
        <v>239</v>
      </c>
      <c r="BD315" s="5" t="s">
        <v>23</v>
      </c>
      <c r="BE315" s="3" t="s">
        <v>1287</v>
      </c>
      <c r="BF315" s="118">
        <v>3.5</v>
      </c>
      <c r="BG315" s="49" t="s">
        <v>1418</v>
      </c>
      <c r="BH315" s="49" t="s">
        <v>1418</v>
      </c>
      <c r="BI315" s="1"/>
      <c r="BJ315" s="70" t="s">
        <v>1283</v>
      </c>
      <c r="BK315" s="57" t="s">
        <v>1283</v>
      </c>
      <c r="BL315" s="57" t="s">
        <v>1283</v>
      </c>
      <c r="BM315" s="57" t="s">
        <v>1283</v>
      </c>
      <c r="BN315" s="57" t="s">
        <v>1283</v>
      </c>
      <c r="BO315" s="57" t="s">
        <v>1283</v>
      </c>
      <c r="BP315" s="57" t="s">
        <v>1283</v>
      </c>
      <c r="BQ315" s="57" t="s">
        <v>1283</v>
      </c>
      <c r="BR315" s="57" t="s">
        <v>1283</v>
      </c>
      <c r="BS315" s="57" t="s">
        <v>1283</v>
      </c>
      <c r="BT315" s="57" t="s">
        <v>1283</v>
      </c>
      <c r="BU315" s="57" t="s">
        <v>1283</v>
      </c>
      <c r="BV315" s="70">
        <f>E315</f>
        <v>67</v>
      </c>
      <c r="BW315" s="71" t="str">
        <f>I315</f>
        <v>-</v>
      </c>
      <c r="BX315" s="72">
        <f>M315</f>
        <v>102</v>
      </c>
      <c r="BY315" s="71">
        <f>Q315</f>
        <v>132</v>
      </c>
      <c r="BZ315" s="72">
        <f>U315</f>
        <v>136</v>
      </c>
      <c r="CA315" s="71">
        <f>Y315</f>
        <v>172</v>
      </c>
      <c r="CB315" s="72">
        <f>AC315</f>
        <v>180</v>
      </c>
      <c r="CC315" s="71">
        <f>AG315</f>
        <v>217</v>
      </c>
      <c r="CD315" s="72">
        <f>AK315</f>
        <v>227</v>
      </c>
      <c r="CE315" s="71">
        <f>AO315</f>
        <v>268</v>
      </c>
      <c r="CF315" s="72">
        <f>AS315</f>
        <v>313</v>
      </c>
      <c r="CG315" s="71" t="str">
        <f>AW315</f>
        <v>-</v>
      </c>
      <c r="CH315" s="70">
        <f>G315</f>
        <v>98</v>
      </c>
      <c r="CI315" s="71" t="str">
        <f>K315</f>
        <v>-</v>
      </c>
      <c r="CJ315" s="72">
        <f>O315</f>
        <v>131</v>
      </c>
      <c r="CK315" s="72">
        <f>S315</f>
        <v>135</v>
      </c>
      <c r="CL315" s="72">
        <f>W315</f>
        <v>171</v>
      </c>
      <c r="CM315" s="72">
        <f>AA315</f>
        <v>179</v>
      </c>
      <c r="CN315" s="72">
        <f>AE315</f>
        <v>204</v>
      </c>
      <c r="CO315" s="72">
        <f>AI315</f>
        <v>219</v>
      </c>
      <c r="CP315" s="72">
        <f>AM315</f>
        <v>262</v>
      </c>
      <c r="CQ315" s="72">
        <f>AQ315</f>
        <v>306</v>
      </c>
      <c r="CR315" s="72">
        <f>AU315</f>
        <v>336</v>
      </c>
      <c r="CS315" s="72" t="str">
        <f>AY315</f>
        <v>-</v>
      </c>
      <c r="CT315" s="23" t="e">
        <f>M315-K315</f>
        <v>#VALUE!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>CONCATENATE(B316,"_",C316)</f>
        <v>oprm_mouse_6DDF</v>
      </c>
      <c r="B316" s="3" t="s">
        <v>913</v>
      </c>
      <c r="C316" s="3" t="s">
        <v>1497</v>
      </c>
      <c r="D316" s="3" t="str">
        <f>IFERROR(MID(VLOOKUP($B316,Seqs!$A:$B,2,0),E316,1),"")</f>
        <v>T</v>
      </c>
      <c r="E316" s="3">
        <v>67</v>
      </c>
      <c r="F316" s="3" t="str">
        <f>IFERROR(MID(VLOOKUP($B316,Seqs!$A:$B,2,0),G316,1),"")</f>
        <v>K</v>
      </c>
      <c r="G316" s="3">
        <v>98</v>
      </c>
      <c r="H316" s="3" t="str">
        <f>IFERROR(MID(VLOOKUP($B316,Seqs!$A:$B,2,0),I316,1),"")</f>
        <v/>
      </c>
      <c r="I316" s="23" t="s">
        <v>23</v>
      </c>
      <c r="J316" s="3" t="str">
        <f>IFERROR(MID(VLOOKUP($B316,Seqs!$A:$B,2,0),K316,1),"")</f>
        <v/>
      </c>
      <c r="K316" s="23" t="s">
        <v>23</v>
      </c>
      <c r="L316" s="3" t="str">
        <f>IFERROR(MID(VLOOKUP($B316,Seqs!$A:$B,2,0),M316,1),"")</f>
        <v>A</v>
      </c>
      <c r="M316" s="3">
        <v>102</v>
      </c>
      <c r="N316" s="3" t="str">
        <f>IFERROR(MID(VLOOKUP($B316,Seqs!$A:$B,2,0),O316,1),"")</f>
        <v>G</v>
      </c>
      <c r="O316" s="3">
        <v>131</v>
      </c>
      <c r="P316" s="3" t="str">
        <f>IFERROR(MID(VLOOKUP($B316,Seqs!$A:$B,2,0),Q316,1),"")</f>
        <v>T</v>
      </c>
      <c r="Q316" s="3">
        <v>132</v>
      </c>
      <c r="R316" s="3" t="str">
        <f>IFERROR(MID(VLOOKUP($B316,Seqs!$A:$B,2,0),S316,1),"")</f>
        <v>F</v>
      </c>
      <c r="S316" s="3">
        <v>135</v>
      </c>
      <c r="T316" s="3" t="str">
        <f>IFERROR(MID(VLOOKUP($B316,Seqs!$A:$B,2,0),U316,1),"")</f>
        <v>G</v>
      </c>
      <c r="U316" s="3">
        <v>136</v>
      </c>
      <c r="V316" s="3" t="str">
        <f>IFERROR(MID(VLOOKUP($B316,Seqs!$A:$B,2,0),W316,1),"")</f>
        <v>H</v>
      </c>
      <c r="W316" s="3">
        <v>171</v>
      </c>
      <c r="X316" s="3" t="str">
        <f>IFERROR(MID(VLOOKUP($B316,Seqs!$A:$B,2,0),Y316,1),"")</f>
        <v>P</v>
      </c>
      <c r="Y316" s="3">
        <v>172</v>
      </c>
      <c r="Z316" s="3" t="str">
        <f>IFERROR(MID(VLOOKUP($B316,Seqs!$A:$B,2,0),AA316,1),"")</f>
        <v>R</v>
      </c>
      <c r="AA316" s="3">
        <v>179</v>
      </c>
      <c r="AB316" s="3" t="str">
        <f>IFERROR(MID(VLOOKUP($B316,Seqs!$A:$B,2,0),AC316,1),"")</f>
        <v>T</v>
      </c>
      <c r="AC316" s="3">
        <v>180</v>
      </c>
      <c r="AD316" s="3" t="str">
        <f>IFERROR(MID(VLOOKUP($B316,Seqs!$A:$B,2,0),AE316,1),"")</f>
        <v>F</v>
      </c>
      <c r="AE316" s="3">
        <v>204</v>
      </c>
      <c r="AF316" s="3" t="str">
        <f>IFERROR(MID(VLOOKUP($B316,Seqs!$A:$B,2,0),AG316,1),"")</f>
        <v>C</v>
      </c>
      <c r="AG316" s="3">
        <v>217</v>
      </c>
      <c r="AH316" s="3" t="str">
        <f>IFERROR(MID(VLOOKUP($B316,Seqs!$A:$B,2,0),AI316,1),"")</f>
        <v>L</v>
      </c>
      <c r="AI316" s="3">
        <v>219</v>
      </c>
      <c r="AJ316" s="3" t="str">
        <f>IFERROR(MID(VLOOKUP($B316,Seqs!$A:$B,2,0),AK316,1),"")</f>
        <v>Y</v>
      </c>
      <c r="AK316" s="3">
        <v>227</v>
      </c>
      <c r="AL316" s="3" t="str">
        <f>IFERROR(MID(VLOOKUP($B316,Seqs!$A:$B,2,0),AM316,1),"")</f>
        <v>V</v>
      </c>
      <c r="AM316" s="3">
        <v>262</v>
      </c>
      <c r="AN316" s="3" t="str">
        <f>IFERROR(MID(VLOOKUP($B316,Seqs!$A:$B,2,0),AO316,1),"")</f>
        <v>S</v>
      </c>
      <c r="AO316" s="3">
        <v>268</v>
      </c>
      <c r="AP316" s="3" t="str">
        <f>IFERROR(MID(VLOOKUP($B316,Seqs!$A:$B,2,0),AQ316,1),"")</f>
        <v>I</v>
      </c>
      <c r="AQ316" s="3">
        <v>306</v>
      </c>
      <c r="AR316" s="3" t="str">
        <f>IFERROR(MID(VLOOKUP($B316,Seqs!$A:$B,2,0),AS316,1),"")</f>
        <v>F</v>
      </c>
      <c r="AS316" s="3">
        <v>313</v>
      </c>
      <c r="AT316" s="3" t="str">
        <f>IFERROR(MID(VLOOKUP($B316,Seqs!$A:$B,2,0),AU316,1),"")</f>
        <v>Y</v>
      </c>
      <c r="AU316" s="3">
        <v>336</v>
      </c>
      <c r="AV316" s="3" t="str">
        <f>IFERROR(MID(VLOOKUP($B316,Seqs!$A:$B,2,0),AW316,1),"")</f>
        <v/>
      </c>
      <c r="AW316" s="3" t="s">
        <v>23</v>
      </c>
      <c r="AX316" s="3" t="str">
        <f>IFERROR(MID(VLOOKUP($B316,Seqs!$A:$B,2,0),AY316,1),"")</f>
        <v/>
      </c>
      <c r="AY316" s="3" t="s">
        <v>23</v>
      </c>
      <c r="AZ316" s="77" t="str">
        <f>VLOOKUP(B316,Classification!A:D,2,0)</f>
        <v>A</v>
      </c>
      <c r="BA316" s="94" t="str">
        <f>VLOOKUP(B316,Classification!A:D,4,0)</f>
        <v>Opioid</v>
      </c>
      <c r="BB316" s="27" t="b">
        <f>AND(E316&lt;G316,OR(G316&lt;I316,I316="-"),OR(I316&lt;K316,I316="-"),OR(K316&lt;M316,K316="-"),M316&lt;O316,OR(O316&lt;Q316,Q316="-"),OR(Q316&lt;S316,Q316="-"),OR(S316&lt;U316,S316="-"),U316&lt;W316,OR(W316&lt;Y316,Y316="-"),OR(Y316&lt;AA316,Y316="-"),OR(AA316&lt;AC316,AA316="-"),AC316&lt;AE316,OR(AE316&lt;AG316,AG316="-"),OR(AG316&lt;AI316,AG316="-"),OR(AI316&lt;AK316,AI316="-"),AK316&lt;AM316,AM316&lt;AO316,AO316&lt;AQ316,AQ316&lt;AS316,AS316&lt;AU316,OR(AU316&lt;AW316,AW316="-"),OR(AW316&lt;AY316,AW316="-"))</f>
        <v>1</v>
      </c>
      <c r="BC316" s="23">
        <f>_xlfn.AGGREGATE(9,6,CH316:CS316)-_xlfn.AGGREGATE(9,6,BV316:CG316)+12</f>
        <v>239</v>
      </c>
      <c r="BD316" s="5" t="s">
        <v>23</v>
      </c>
      <c r="BE316" s="3" t="s">
        <v>1287</v>
      </c>
      <c r="BF316" s="118">
        <v>4.5</v>
      </c>
      <c r="BG316" s="49" t="s">
        <v>1418</v>
      </c>
      <c r="BH316" s="49" t="s">
        <v>1418</v>
      </c>
      <c r="BI316" s="1"/>
      <c r="BJ316" s="70" t="s">
        <v>1283</v>
      </c>
      <c r="BK316" s="57" t="s">
        <v>1283</v>
      </c>
      <c r="BL316" s="57" t="s">
        <v>1283</v>
      </c>
      <c r="BM316" s="57" t="s">
        <v>1283</v>
      </c>
      <c r="BN316" s="57" t="s">
        <v>1283</v>
      </c>
      <c r="BO316" s="57" t="s">
        <v>1283</v>
      </c>
      <c r="BP316" s="57" t="s">
        <v>1283</v>
      </c>
      <c r="BQ316" s="57" t="s">
        <v>1283</v>
      </c>
      <c r="BR316" s="57" t="s">
        <v>1283</v>
      </c>
      <c r="BS316" s="57" t="s">
        <v>1283</v>
      </c>
      <c r="BT316" s="57" t="s">
        <v>1283</v>
      </c>
      <c r="BU316" s="57" t="s">
        <v>1283</v>
      </c>
      <c r="BV316" s="70">
        <f>E316</f>
        <v>67</v>
      </c>
      <c r="BW316" s="71" t="str">
        <f>I316</f>
        <v>-</v>
      </c>
      <c r="BX316" s="72">
        <f>M316</f>
        <v>102</v>
      </c>
      <c r="BY316" s="71">
        <f>Q316</f>
        <v>132</v>
      </c>
      <c r="BZ316" s="72">
        <f>U316</f>
        <v>136</v>
      </c>
      <c r="CA316" s="71">
        <f>Y316</f>
        <v>172</v>
      </c>
      <c r="CB316" s="72">
        <f>AC316</f>
        <v>180</v>
      </c>
      <c r="CC316" s="71">
        <f>AG316</f>
        <v>217</v>
      </c>
      <c r="CD316" s="72">
        <f>AK316</f>
        <v>227</v>
      </c>
      <c r="CE316" s="71">
        <f>AO316</f>
        <v>268</v>
      </c>
      <c r="CF316" s="72">
        <f>AS316</f>
        <v>313</v>
      </c>
      <c r="CG316" s="71" t="str">
        <f>AW316</f>
        <v>-</v>
      </c>
      <c r="CH316" s="70">
        <f>G316</f>
        <v>98</v>
      </c>
      <c r="CI316" s="71" t="str">
        <f>K316</f>
        <v>-</v>
      </c>
      <c r="CJ316" s="72">
        <f>O316</f>
        <v>131</v>
      </c>
      <c r="CK316" s="72">
        <f>S316</f>
        <v>135</v>
      </c>
      <c r="CL316" s="72">
        <f>W316</f>
        <v>171</v>
      </c>
      <c r="CM316" s="72">
        <f>AA316</f>
        <v>179</v>
      </c>
      <c r="CN316" s="72">
        <f>AE316</f>
        <v>204</v>
      </c>
      <c r="CO316" s="72">
        <f>AI316</f>
        <v>219</v>
      </c>
      <c r="CP316" s="72">
        <f>AM316</f>
        <v>262</v>
      </c>
      <c r="CQ316" s="72">
        <f>AQ316</f>
        <v>306</v>
      </c>
      <c r="CR316" s="72">
        <f>AU316</f>
        <v>336</v>
      </c>
      <c r="CS316" s="72" t="str">
        <f>AY316</f>
        <v>-</v>
      </c>
      <c r="CT316" s="23" t="e">
        <f>M316-K316</f>
        <v>#VALUE!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x14ac:dyDescent="0.2">
      <c r="A317" s="3" t="str">
        <f t="shared" si="2290"/>
        <v>oprx_human__wt</v>
      </c>
      <c r="B317" s="3" t="s">
        <v>1169</v>
      </c>
      <c r="C317" s="3" t="s">
        <v>100</v>
      </c>
      <c r="D317" s="3" t="str">
        <f>IFERROR(MID(VLOOKUP($B317,Seqs!$A:$B,2,0),E317,1),"")</f>
        <v>L</v>
      </c>
      <c r="E317" s="3">
        <v>48</v>
      </c>
      <c r="F317" s="3" t="str">
        <f>IFERROR(MID(VLOOKUP($B317,Seqs!$A:$B,2,0),G317,1),"")</f>
        <v>H</v>
      </c>
      <c r="G317" s="3">
        <v>79</v>
      </c>
      <c r="H317" s="3" t="str">
        <f>IFERROR(MID(VLOOKUP($B317,Seqs!$A:$B,2,0),I317,1),"")</f>
        <v>T</v>
      </c>
      <c r="I317" s="23">
        <v>80</v>
      </c>
      <c r="J317" s="3" t="str">
        <f>IFERROR(MID(VLOOKUP($B317,Seqs!$A:$B,2,0),K317,1),"")</f>
        <v>K</v>
      </c>
      <c r="K317" s="23">
        <v>83</v>
      </c>
      <c r="L317" s="3" t="str">
        <f>IFERROR(MID(VLOOKUP($B317,Seqs!$A:$B,2,0),M317,1),"")</f>
        <v>T</v>
      </c>
      <c r="M317" s="3">
        <v>84</v>
      </c>
      <c r="N317" s="3" t="str">
        <f>IFERROR(MID(VLOOKUP($B317,Seqs!$A:$B,2,0),O317,1),"")</f>
        <v>G</v>
      </c>
      <c r="O317" s="105">
        <v>114</v>
      </c>
      <c r="P317" s="3" t="str">
        <f>IFERROR(MID(VLOOKUP($B317,Seqs!$A:$B,2,0),Q317,1),"")</f>
        <v>F</v>
      </c>
      <c r="Q317" s="3">
        <v>115</v>
      </c>
      <c r="R317" s="3" t="str">
        <f>IFERROR(MID(VLOOKUP($B317,Seqs!$A:$B,2,0),S317,1),"")</f>
        <v>F</v>
      </c>
      <c r="S317" s="3">
        <v>118</v>
      </c>
      <c r="T317" s="3" t="str">
        <f>IFERROR(MID(VLOOKUP($B317,Seqs!$A:$B,2,0),U317,1),"")</f>
        <v>G</v>
      </c>
      <c r="U317" s="3">
        <v>119</v>
      </c>
      <c r="V317" s="3" t="str">
        <f>IFERROR(MID(VLOOKUP($B317,Seqs!$A:$B,2,0),W317,1),"")</f>
        <v>H</v>
      </c>
      <c r="W317" s="3">
        <v>154</v>
      </c>
      <c r="X317" s="3" t="str">
        <f>IFERROR(MID(VLOOKUP($B317,Seqs!$A:$B,2,0),Y317,1),"")</f>
        <v>P</v>
      </c>
      <c r="Y317" s="3">
        <v>155</v>
      </c>
      <c r="Z317" s="3" t="str">
        <f>IFERROR(MID(VLOOKUP($B317,Seqs!$A:$B,2,0),AA317,1),"")</f>
        <v>R</v>
      </c>
      <c r="AA317" s="3">
        <v>162</v>
      </c>
      <c r="AB317" s="3" t="str">
        <f>IFERROR(MID(VLOOKUP($B317,Seqs!$A:$B,2,0),AC317,1),"")</f>
        <v>T</v>
      </c>
      <c r="AC317" s="9">
        <v>163</v>
      </c>
      <c r="AD317" s="3" t="str">
        <f>IFERROR(MID(VLOOKUP($B317,Seqs!$A:$B,2,0),AE317,1),"")</f>
        <v>G</v>
      </c>
      <c r="AE317" s="3">
        <v>189</v>
      </c>
      <c r="AF317" s="3" t="str">
        <f>IFERROR(MID(VLOOKUP($B317,Seqs!$A:$B,2,0),AG317,1),"")</f>
        <v>C</v>
      </c>
      <c r="AG317" s="3">
        <v>200</v>
      </c>
      <c r="AH317" s="3" t="str">
        <f>IFERROR(MID(VLOOKUP($B317,Seqs!$A:$B,2,0),AI317,1),"")</f>
        <v>V</v>
      </c>
      <c r="AI317" s="3">
        <v>202</v>
      </c>
      <c r="AJ317" s="3" t="str">
        <f>IFERROR(MID(VLOOKUP($B317,Seqs!$A:$B,2,0),AK317,1),"")</f>
        <v>P</v>
      </c>
      <c r="AK317" s="105">
        <v>207</v>
      </c>
      <c r="AL317" s="3" t="str">
        <f>IFERROR(MID(VLOOKUP($B317,Seqs!$A:$B,2,0),AM317,1),"")</f>
        <v>V</v>
      </c>
      <c r="AM317" s="3">
        <v>245</v>
      </c>
      <c r="AN317" s="3" t="str">
        <f>IFERROR(MID(VLOOKUP($B317,Seqs!$A:$B,2,0),AO317,1),"")</f>
        <v>S</v>
      </c>
      <c r="AO317" s="3">
        <v>251</v>
      </c>
      <c r="AP317" s="3" t="str">
        <f>IFERROR(MID(VLOOKUP($B317,Seqs!$A:$B,2,0),AQ317,1),"")</f>
        <v>G</v>
      </c>
      <c r="AQ317" s="3">
        <v>289</v>
      </c>
      <c r="AR317" s="3" t="str">
        <f>IFERROR(MID(VLOOKUP($B317,Seqs!$A:$B,2,0),AS317,1),"")</f>
        <v>S</v>
      </c>
      <c r="AS317" s="3">
        <v>294</v>
      </c>
      <c r="AT317" s="3" t="str">
        <f>IFERROR(MID(VLOOKUP($B317,Seqs!$A:$B,2,0),AU317,1),"")</f>
        <v>L</v>
      </c>
      <c r="AU317" s="3">
        <v>322</v>
      </c>
      <c r="AV317" s="3" t="str">
        <f>IFERROR(MID(VLOOKUP($B317,Seqs!$A:$B,2,0),AW317,1),"")</f>
        <v>D</v>
      </c>
      <c r="AW317" s="3">
        <v>323</v>
      </c>
      <c r="AX317" s="3" t="str">
        <f>IFERROR(MID(VLOOKUP($B317,Seqs!$A:$B,2,0),AY317,1),"")</f>
        <v>C</v>
      </c>
      <c r="AY317" s="3">
        <v>335</v>
      </c>
      <c r="AZ317" s="77" t="str">
        <f>VLOOKUP(B317,Classification!A:D,2,0)</f>
        <v>A</v>
      </c>
      <c r="BA317" s="94" t="str">
        <f>VLOOKUP(B317,Classification!A:D,4,0)</f>
        <v>Opioid</v>
      </c>
      <c r="BB317" s="27" t="b">
        <f t="shared" si="2291"/>
        <v>1</v>
      </c>
      <c r="BC317" s="23">
        <f t="shared" si="2012"/>
        <v>265</v>
      </c>
      <c r="BD317" s="56" t="s">
        <v>23</v>
      </c>
      <c r="BE317" s="3" t="s">
        <v>23</v>
      </c>
      <c r="BF317" s="118" t="s">
        <v>23</v>
      </c>
      <c r="BG317" s="49" t="s">
        <v>1368</v>
      </c>
      <c r="BH317" s="49" t="s">
        <v>1373</v>
      </c>
      <c r="BI317" s="1"/>
      <c r="BJ317" s="70" t="s">
        <v>1283</v>
      </c>
      <c r="BK317" s="57" t="s">
        <v>1283</v>
      </c>
      <c r="BL317" s="57" t="s">
        <v>1283</v>
      </c>
      <c r="BM317" s="57" t="s">
        <v>1283</v>
      </c>
      <c r="BN317" s="57" t="s">
        <v>1283</v>
      </c>
      <c r="BO317" s="57" t="s">
        <v>1283</v>
      </c>
      <c r="BP317" s="57" t="s">
        <v>1283</v>
      </c>
      <c r="BQ317" s="57" t="s">
        <v>1283</v>
      </c>
      <c r="BR317" s="57" t="s">
        <v>1283</v>
      </c>
      <c r="BS317" s="57" t="s">
        <v>1283</v>
      </c>
      <c r="BT317" s="57" t="s">
        <v>1283</v>
      </c>
      <c r="BU317" s="57" t="s">
        <v>1283</v>
      </c>
      <c r="BV317" s="70">
        <f t="shared" si="2013"/>
        <v>48</v>
      </c>
      <c r="BW317" s="71">
        <f t="shared" si="2014"/>
        <v>80</v>
      </c>
      <c r="BX317" s="72">
        <f t="shared" si="2015"/>
        <v>84</v>
      </c>
      <c r="BY317" s="71">
        <f t="shared" si="2016"/>
        <v>115</v>
      </c>
      <c r="BZ317" s="72">
        <f t="shared" si="2017"/>
        <v>119</v>
      </c>
      <c r="CA317" s="71">
        <f t="shared" si="2018"/>
        <v>155</v>
      </c>
      <c r="CB317" s="72">
        <f t="shared" si="2019"/>
        <v>163</v>
      </c>
      <c r="CC317" s="71">
        <f t="shared" si="2020"/>
        <v>200</v>
      </c>
      <c r="CD317" s="72">
        <f t="shared" si="2021"/>
        <v>207</v>
      </c>
      <c r="CE317" s="71">
        <f t="shared" si="2022"/>
        <v>251</v>
      </c>
      <c r="CF317" s="72">
        <f t="shared" si="2023"/>
        <v>294</v>
      </c>
      <c r="CG317" s="71">
        <f t="shared" si="2024"/>
        <v>323</v>
      </c>
      <c r="CH317" s="70">
        <f t="shared" si="2025"/>
        <v>79</v>
      </c>
      <c r="CI317" s="71">
        <f t="shared" si="2026"/>
        <v>83</v>
      </c>
      <c r="CJ317" s="72">
        <f t="shared" si="2027"/>
        <v>114</v>
      </c>
      <c r="CK317" s="72">
        <f t="shared" si="2028"/>
        <v>118</v>
      </c>
      <c r="CL317" s="72">
        <f t="shared" si="2029"/>
        <v>154</v>
      </c>
      <c r="CM317" s="72">
        <f t="shared" si="2030"/>
        <v>162</v>
      </c>
      <c r="CN317" s="72">
        <f t="shared" si="2031"/>
        <v>189</v>
      </c>
      <c r="CO317" s="72">
        <f t="shared" si="2032"/>
        <v>202</v>
      </c>
      <c r="CP317" s="72">
        <f t="shared" si="2033"/>
        <v>245</v>
      </c>
      <c r="CQ317" s="72">
        <f t="shared" si="2034"/>
        <v>289</v>
      </c>
      <c r="CR317" s="72">
        <f t="shared" si="2035"/>
        <v>322</v>
      </c>
      <c r="CS317" s="72">
        <f t="shared" si="2036"/>
        <v>335</v>
      </c>
      <c r="CT317" s="23">
        <f t="shared" si="2037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30" x14ac:dyDescent="0.2">
      <c r="A318" s="3" t="str">
        <f t="shared" si="2290"/>
        <v>oprx_human_4EA3</v>
      </c>
      <c r="B318" s="3" t="s">
        <v>1169</v>
      </c>
      <c r="C318" s="3" t="s">
        <v>67</v>
      </c>
      <c r="D318" s="3" t="str">
        <f>IFERROR(MID(VLOOKUP($B318,Seqs!$A:$B,2,0),E318,1),"")</f>
        <v>L</v>
      </c>
      <c r="E318" s="3">
        <v>48</v>
      </c>
      <c r="F318" s="3" t="str">
        <f>IFERROR(MID(VLOOKUP($B318,Seqs!$A:$B,2,0),G318,1),"")</f>
        <v>H</v>
      </c>
      <c r="G318" s="3">
        <v>79</v>
      </c>
      <c r="H318" s="3" t="str">
        <f>IFERROR(MID(VLOOKUP($B318,Seqs!$A:$B,2,0),I318,1),"")</f>
        <v/>
      </c>
      <c r="I318" s="23" t="s">
        <v>23</v>
      </c>
      <c r="J318" s="3" t="str">
        <f>IFERROR(MID(VLOOKUP($B318,Seqs!$A:$B,2,0),K318,1),"")</f>
        <v/>
      </c>
      <c r="K318" s="23" t="s">
        <v>23</v>
      </c>
      <c r="L318" s="3" t="str">
        <f>IFERROR(MID(VLOOKUP($B318,Seqs!$A:$B,2,0),M318,1),"")</f>
        <v>T</v>
      </c>
      <c r="M318" s="3">
        <v>84</v>
      </c>
      <c r="N318" s="3" t="str">
        <f>IFERROR(MID(VLOOKUP($B318,Seqs!$A:$B,2,0),O318,1),"")</f>
        <v>G</v>
      </c>
      <c r="O318" s="3">
        <v>114</v>
      </c>
      <c r="P318" s="3" t="str">
        <f>IFERROR(MID(VLOOKUP($B318,Seqs!$A:$B,2,0),Q318,1),"")</f>
        <v>F</v>
      </c>
      <c r="Q318" s="3">
        <v>115</v>
      </c>
      <c r="R318" s="3" t="str">
        <f>IFERROR(MID(VLOOKUP($B318,Seqs!$A:$B,2,0),S318,1),"")</f>
        <v>F</v>
      </c>
      <c r="S318" s="3">
        <v>118</v>
      </c>
      <c r="T318" s="3" t="str">
        <f>IFERROR(MID(VLOOKUP($B318,Seqs!$A:$B,2,0),U318,1),"")</f>
        <v>G</v>
      </c>
      <c r="U318" s="3">
        <v>119</v>
      </c>
      <c r="V318" s="3" t="str">
        <f>IFERROR(MID(VLOOKUP($B318,Seqs!$A:$B,2,0),W318,1),"")</f>
        <v>H</v>
      </c>
      <c r="W318" s="3">
        <v>154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T</v>
      </c>
      <c r="AC318" s="9">
        <v>163</v>
      </c>
      <c r="AD318" s="3" t="str">
        <f>IFERROR(MID(VLOOKUP($B318,Seqs!$A:$B,2,0),AE318,1),"")</f>
        <v>G</v>
      </c>
      <c r="AE318" s="3">
        <v>189</v>
      </c>
      <c r="AF318" s="3" t="str">
        <f>IFERROR(MID(VLOOKUP($B318,Seqs!$A:$B,2,0),AG318,1),"")</f>
        <v>C</v>
      </c>
      <c r="AG318" s="3">
        <v>200</v>
      </c>
      <c r="AH318" s="3" t="str">
        <f>IFERROR(MID(VLOOKUP($B318,Seqs!$A:$B,2,0),AI318,1),"")</f>
        <v>V</v>
      </c>
      <c r="AI318" s="3">
        <v>202</v>
      </c>
      <c r="AJ318" s="3" t="str">
        <f>IFERROR(MID(VLOOKUP($B318,Seqs!$A:$B,2,0),AK318,1),"")</f>
        <v>P</v>
      </c>
      <c r="AK318" s="3">
        <v>207</v>
      </c>
      <c r="AL318" s="3" t="str">
        <f>IFERROR(MID(VLOOKUP($B318,Seqs!$A:$B,2,0),AM318,1),"")</f>
        <v>L</v>
      </c>
      <c r="AM318" s="3">
        <v>242</v>
      </c>
      <c r="AN318" s="3" t="str">
        <f>IFERROR(MID(VLOOKUP($B318,Seqs!$A:$B,2,0),AO318,1),"")</f>
        <v>S</v>
      </c>
      <c r="AO318" s="3">
        <v>251</v>
      </c>
      <c r="AP318" s="3" t="str">
        <f>IFERROR(MID(VLOOKUP($B318,Seqs!$A:$B,2,0),AQ318,1),"")</f>
        <v>G</v>
      </c>
      <c r="AQ318" s="3">
        <v>289</v>
      </c>
      <c r="AR318" s="3" t="str">
        <f>IFERROR(MID(VLOOKUP($B318,Seqs!$A:$B,2,0),AS318,1),"")</f>
        <v>S</v>
      </c>
      <c r="AS318" s="3">
        <v>294</v>
      </c>
      <c r="AT318" s="3" t="str">
        <f>IFERROR(MID(VLOOKUP($B318,Seqs!$A:$B,2,0),AU318,1),"")</f>
        <v>L</v>
      </c>
      <c r="AU318" s="3">
        <v>322</v>
      </c>
      <c r="AV318" s="3" t="str">
        <f>IFERROR(MID(VLOOKUP($B318,Seqs!$A:$B,2,0),AW318,1),"")</f>
        <v>D</v>
      </c>
      <c r="AW318" s="3">
        <v>323</v>
      </c>
      <c r="AX318" s="3" t="str">
        <f>IFERROR(MID(VLOOKUP($B318,Seqs!$A:$B,2,0),AY318,1),"")</f>
        <v>R</v>
      </c>
      <c r="AY318" s="3">
        <v>331</v>
      </c>
      <c r="AZ318" s="77" t="str">
        <f>VLOOKUP(B318,Classification!A:D,2,0)</f>
        <v>A</v>
      </c>
      <c r="BA318" s="94" t="str">
        <f>VLOOKUP(B318,Classification!A:D,4,0)</f>
        <v>Opioid</v>
      </c>
      <c r="BB318" s="27" t="b">
        <f t="shared" si="2291"/>
        <v>1</v>
      </c>
      <c r="BC318" s="23">
        <f t="shared" si="2012"/>
        <v>248</v>
      </c>
      <c r="BD318" s="5" t="s">
        <v>23</v>
      </c>
      <c r="BE318" s="3" t="s">
        <v>1370</v>
      </c>
      <c r="BF318" s="118">
        <v>3.01</v>
      </c>
      <c r="BG318" s="49" t="s">
        <v>1373</v>
      </c>
      <c r="BH318" s="49" t="s">
        <v>1373</v>
      </c>
      <c r="BI318" s="1"/>
      <c r="BJ318" s="70" t="s">
        <v>1283</v>
      </c>
      <c r="BK318" s="57" t="s">
        <v>1283</v>
      </c>
      <c r="BL318" s="57" t="s">
        <v>1283</v>
      </c>
      <c r="BM318" s="57" t="s">
        <v>1283</v>
      </c>
      <c r="BN318" s="57" t="s">
        <v>1283</v>
      </c>
      <c r="BO318" s="57" t="s">
        <v>1283</v>
      </c>
      <c r="BP318" s="57" t="s">
        <v>1283</v>
      </c>
      <c r="BQ318" s="57" t="s">
        <v>1283</v>
      </c>
      <c r="BR318" s="57" t="s">
        <v>1283</v>
      </c>
      <c r="BS318" s="57" t="s">
        <v>1283</v>
      </c>
      <c r="BT318" s="57" t="s">
        <v>1283</v>
      </c>
      <c r="BU318" s="57" t="s">
        <v>1283</v>
      </c>
      <c r="BV318" s="70">
        <f t="shared" si="2013"/>
        <v>48</v>
      </c>
      <c r="BW318" s="71" t="str">
        <f t="shared" si="2014"/>
        <v>-</v>
      </c>
      <c r="BX318" s="72">
        <f t="shared" si="2015"/>
        <v>84</v>
      </c>
      <c r="BY318" s="71">
        <f t="shared" si="2016"/>
        <v>115</v>
      </c>
      <c r="BZ318" s="72">
        <f t="shared" si="2017"/>
        <v>119</v>
      </c>
      <c r="CA318" s="71" t="str">
        <f t="shared" si="2018"/>
        <v>-</v>
      </c>
      <c r="CB318" s="72">
        <f t="shared" si="2019"/>
        <v>163</v>
      </c>
      <c r="CC318" s="71">
        <f t="shared" si="2020"/>
        <v>200</v>
      </c>
      <c r="CD318" s="72">
        <f t="shared" si="2021"/>
        <v>207</v>
      </c>
      <c r="CE318" s="71">
        <f t="shared" si="2022"/>
        <v>251</v>
      </c>
      <c r="CF318" s="72">
        <f t="shared" si="2023"/>
        <v>294</v>
      </c>
      <c r="CG318" s="71">
        <f t="shared" si="2024"/>
        <v>323</v>
      </c>
      <c r="CH318" s="70">
        <f t="shared" si="2025"/>
        <v>79</v>
      </c>
      <c r="CI318" s="71" t="str">
        <f t="shared" si="2026"/>
        <v>-</v>
      </c>
      <c r="CJ318" s="72">
        <f t="shared" si="2027"/>
        <v>114</v>
      </c>
      <c r="CK318" s="72">
        <f t="shared" si="2028"/>
        <v>118</v>
      </c>
      <c r="CL318" s="72">
        <f t="shared" si="2029"/>
        <v>154</v>
      </c>
      <c r="CM318" s="72" t="str">
        <f t="shared" si="2030"/>
        <v>-</v>
      </c>
      <c r="CN318" s="72">
        <f t="shared" si="2031"/>
        <v>189</v>
      </c>
      <c r="CO318" s="72">
        <f t="shared" si="2032"/>
        <v>202</v>
      </c>
      <c r="CP318" s="72">
        <f t="shared" si="2033"/>
        <v>242</v>
      </c>
      <c r="CQ318" s="72">
        <f t="shared" si="2034"/>
        <v>289</v>
      </c>
      <c r="CR318" s="72">
        <f t="shared" si="2035"/>
        <v>322</v>
      </c>
      <c r="CS318" s="72">
        <f t="shared" si="2036"/>
        <v>331</v>
      </c>
      <c r="CT318" s="23" t="e">
        <f t="shared" si="2037"/>
        <v>#VALUE!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30" x14ac:dyDescent="0.2">
      <c r="A319" s="3" t="str">
        <f t="shared" si="2290"/>
        <v>oprx_human_5DHG</v>
      </c>
      <c r="B319" s="3" t="s">
        <v>1169</v>
      </c>
      <c r="C319" s="3" t="s">
        <v>1351</v>
      </c>
      <c r="D319" s="3" t="str">
        <f>IFERROR(MID(VLOOKUP($B319,Seqs!$A:$B,2,0),E319,1),"")</f>
        <v>L</v>
      </c>
      <c r="E319" s="3">
        <v>48</v>
      </c>
      <c r="F319" s="3" t="str">
        <f>IFERROR(MID(VLOOKUP($B319,Seqs!$A:$B,2,0),G319,1),"")</f>
        <v>H</v>
      </c>
      <c r="G319" s="3">
        <v>79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T</v>
      </c>
      <c r="M319" s="3">
        <v>84</v>
      </c>
      <c r="N319" s="3" t="str">
        <f>IFERROR(MID(VLOOKUP($B319,Seqs!$A:$B,2,0),O319,1),"")</f>
        <v>G</v>
      </c>
      <c r="O319" s="3">
        <v>114</v>
      </c>
      <c r="P319" s="3" t="str">
        <f>IFERROR(MID(VLOOKUP($B319,Seqs!$A:$B,2,0),Q319,1),"")</f>
        <v>F</v>
      </c>
      <c r="Q319" s="3">
        <v>115</v>
      </c>
      <c r="R319" s="3" t="str">
        <f>IFERROR(MID(VLOOKUP($B319,Seqs!$A:$B,2,0),S319,1),"")</f>
        <v>F</v>
      </c>
      <c r="S319" s="3">
        <v>118</v>
      </c>
      <c r="T319" s="3" t="str">
        <f>IFERROR(MID(VLOOKUP($B319,Seqs!$A:$B,2,0),U319,1),"")</f>
        <v>G</v>
      </c>
      <c r="U319" s="3">
        <v>119</v>
      </c>
      <c r="V319" s="3" t="str">
        <f>IFERROR(MID(VLOOKUP($B319,Seqs!$A:$B,2,0),W319,1),"")</f>
        <v>H</v>
      </c>
      <c r="W319" s="3">
        <v>154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T</v>
      </c>
      <c r="AC319" s="9">
        <v>163</v>
      </c>
      <c r="AD319" s="3" t="str">
        <f>IFERROR(MID(VLOOKUP($B319,Seqs!$A:$B,2,0),AE319,1),"")</f>
        <v>G</v>
      </c>
      <c r="AE319" s="3">
        <v>189</v>
      </c>
      <c r="AF319" s="3" t="str">
        <f>IFERROR(MID(VLOOKUP($B319,Seqs!$A:$B,2,0),AG319,1),"")</f>
        <v>C</v>
      </c>
      <c r="AG319" s="3">
        <v>200</v>
      </c>
      <c r="AH319" s="3" t="str">
        <f>IFERROR(MID(VLOOKUP($B319,Seqs!$A:$B,2,0),AI319,1),"")</f>
        <v>V</v>
      </c>
      <c r="AI319" s="3">
        <v>202</v>
      </c>
      <c r="AJ319" s="3" t="str">
        <f>IFERROR(MID(VLOOKUP($B319,Seqs!$A:$B,2,0),AK319,1),"")</f>
        <v>P</v>
      </c>
      <c r="AK319" s="3">
        <v>207</v>
      </c>
      <c r="AL319" s="3" t="str">
        <f>IFERROR(MID(VLOOKUP($B319,Seqs!$A:$B,2,0),AM319,1),"")</f>
        <v>L</v>
      </c>
      <c r="AM319" s="3">
        <v>242</v>
      </c>
      <c r="AN319" s="3" t="str">
        <f>IFERROR(MID(VLOOKUP($B319,Seqs!$A:$B,2,0),AO319,1),"")</f>
        <v>S</v>
      </c>
      <c r="AO319" s="3">
        <v>251</v>
      </c>
      <c r="AP319" s="3" t="str">
        <f>IFERROR(MID(VLOOKUP($B319,Seqs!$A:$B,2,0),AQ319,1),"")</f>
        <v>G</v>
      </c>
      <c r="AQ319" s="3">
        <v>289</v>
      </c>
      <c r="AR319" s="3" t="str">
        <f>IFERROR(MID(VLOOKUP($B319,Seqs!$A:$B,2,0),AS319,1),"")</f>
        <v>S</v>
      </c>
      <c r="AS319" s="3">
        <v>294</v>
      </c>
      <c r="AT319" s="3" t="str">
        <f>IFERROR(MID(VLOOKUP($B319,Seqs!$A:$B,2,0),AU319,1),"")</f>
        <v>L</v>
      </c>
      <c r="AU319" s="3">
        <v>322</v>
      </c>
      <c r="AV319" s="3" t="str">
        <f>IFERROR(MID(VLOOKUP($B319,Seqs!$A:$B,2,0),AW319,1),"")</f>
        <v>D</v>
      </c>
      <c r="AW319" s="3">
        <v>323</v>
      </c>
      <c r="AX319" s="3" t="str">
        <f>IFERROR(MID(VLOOKUP($B319,Seqs!$A:$B,2,0),AY319,1),"")</f>
        <v>F</v>
      </c>
      <c r="AY319" s="3">
        <v>333</v>
      </c>
      <c r="AZ319" s="77" t="str">
        <f>VLOOKUP(B319,Classification!A:D,2,0)</f>
        <v>A</v>
      </c>
      <c r="BA319" s="94" t="str">
        <f>VLOOKUP(B319,Classification!A:D,4,0)</f>
        <v>Opioid</v>
      </c>
      <c r="BB319" s="27" t="b">
        <f t="shared" si="2291"/>
        <v>1</v>
      </c>
      <c r="BC319" s="23">
        <f t="shared" si="2012"/>
        <v>250</v>
      </c>
      <c r="BD319" s="16" t="s">
        <v>1372</v>
      </c>
      <c r="BE319" s="3" t="s">
        <v>1370</v>
      </c>
      <c r="BF319" s="118">
        <v>3</v>
      </c>
      <c r="BG319" s="49" t="s">
        <v>1277</v>
      </c>
      <c r="BH319" s="49" t="s">
        <v>1373</v>
      </c>
      <c r="BI319" s="1"/>
      <c r="BJ319" s="70" t="s">
        <v>1283</v>
      </c>
      <c r="BK319" s="57" t="s">
        <v>1283</v>
      </c>
      <c r="BL319" s="57" t="s">
        <v>1283</v>
      </c>
      <c r="BM319" s="57" t="s">
        <v>1283</v>
      </c>
      <c r="BN319" s="57" t="s">
        <v>1283</v>
      </c>
      <c r="BO319" s="57" t="s">
        <v>1283</v>
      </c>
      <c r="BP319" s="57" t="s">
        <v>1283</v>
      </c>
      <c r="BQ319" s="57" t="s">
        <v>1283</v>
      </c>
      <c r="BR319" s="57" t="s">
        <v>1283</v>
      </c>
      <c r="BS319" s="57" t="s">
        <v>1283</v>
      </c>
      <c r="BT319" s="57" t="s">
        <v>1283</v>
      </c>
      <c r="BU319" s="57" t="s">
        <v>1283</v>
      </c>
      <c r="BV319" s="70">
        <f t="shared" si="2013"/>
        <v>48</v>
      </c>
      <c r="BW319" s="71" t="str">
        <f t="shared" si="2014"/>
        <v>-</v>
      </c>
      <c r="BX319" s="72">
        <f t="shared" si="2015"/>
        <v>84</v>
      </c>
      <c r="BY319" s="71">
        <f t="shared" si="2016"/>
        <v>115</v>
      </c>
      <c r="BZ319" s="72">
        <f t="shared" si="2017"/>
        <v>119</v>
      </c>
      <c r="CA319" s="71" t="str">
        <f t="shared" si="2018"/>
        <v>-</v>
      </c>
      <c r="CB319" s="72">
        <f t="shared" si="2019"/>
        <v>163</v>
      </c>
      <c r="CC319" s="71">
        <f t="shared" si="2020"/>
        <v>200</v>
      </c>
      <c r="CD319" s="72">
        <f t="shared" si="2021"/>
        <v>207</v>
      </c>
      <c r="CE319" s="71">
        <f t="shared" si="2022"/>
        <v>251</v>
      </c>
      <c r="CF319" s="72">
        <f t="shared" si="2023"/>
        <v>294</v>
      </c>
      <c r="CG319" s="71">
        <f t="shared" si="2024"/>
        <v>323</v>
      </c>
      <c r="CH319" s="70">
        <f t="shared" si="2025"/>
        <v>79</v>
      </c>
      <c r="CI319" s="71" t="str">
        <f t="shared" si="2026"/>
        <v>-</v>
      </c>
      <c r="CJ319" s="72">
        <f t="shared" si="2027"/>
        <v>114</v>
      </c>
      <c r="CK319" s="72">
        <f t="shared" si="2028"/>
        <v>118</v>
      </c>
      <c r="CL319" s="72">
        <f t="shared" si="2029"/>
        <v>154</v>
      </c>
      <c r="CM319" s="72" t="str">
        <f t="shared" si="2030"/>
        <v>-</v>
      </c>
      <c r="CN319" s="72">
        <f t="shared" si="2031"/>
        <v>189</v>
      </c>
      <c r="CO319" s="72">
        <f t="shared" si="2032"/>
        <v>202</v>
      </c>
      <c r="CP319" s="72">
        <f t="shared" si="2033"/>
        <v>242</v>
      </c>
      <c r="CQ319" s="72">
        <f t="shared" si="2034"/>
        <v>289</v>
      </c>
      <c r="CR319" s="72">
        <f t="shared" si="2035"/>
        <v>322</v>
      </c>
      <c r="CS319" s="72">
        <f t="shared" si="2036"/>
        <v>333</v>
      </c>
      <c r="CT319" s="23" t="e">
        <f t="shared" si="2037"/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30" x14ac:dyDescent="0.2">
      <c r="A320" s="3" t="str">
        <f t="shared" si="2290"/>
        <v>oprx_human_5DHH</v>
      </c>
      <c r="B320" s="3" t="s">
        <v>1169</v>
      </c>
      <c r="C320" s="3" t="s">
        <v>1352</v>
      </c>
      <c r="D320" s="3" t="str">
        <f>IFERROR(MID(VLOOKUP($B320,Seqs!$A:$B,2,0),E320,1),"")</f>
        <v>L</v>
      </c>
      <c r="E320" s="3">
        <v>48</v>
      </c>
      <c r="F320" s="3" t="str">
        <f>IFERROR(MID(VLOOKUP($B320,Seqs!$A:$B,2,0),G320,1),"")</f>
        <v>H</v>
      </c>
      <c r="G320" s="3">
        <v>79</v>
      </c>
      <c r="H320" s="3" t="str">
        <f>IFERROR(MID(VLOOKUP($B320,Seqs!$A:$B,2,0),I320,1),"")</f>
        <v/>
      </c>
      <c r="I320" s="23" t="s">
        <v>23</v>
      </c>
      <c r="J320" s="3" t="str">
        <f>IFERROR(MID(VLOOKUP($B320,Seqs!$A:$B,2,0),K320,1),"")</f>
        <v/>
      </c>
      <c r="K320" s="23" t="s">
        <v>23</v>
      </c>
      <c r="L320" s="3" t="str">
        <f>IFERROR(MID(VLOOKUP($B320,Seqs!$A:$B,2,0),M320,1),"")</f>
        <v>T</v>
      </c>
      <c r="M320" s="3">
        <v>84</v>
      </c>
      <c r="N320" s="3" t="str">
        <f>IFERROR(MID(VLOOKUP($B320,Seqs!$A:$B,2,0),O320,1),"")</f>
        <v>G</v>
      </c>
      <c r="O320" s="3">
        <v>114</v>
      </c>
      <c r="P320" s="3" t="str">
        <f>IFERROR(MID(VLOOKUP($B320,Seqs!$A:$B,2,0),Q320,1),"")</f>
        <v>F</v>
      </c>
      <c r="Q320" s="3">
        <v>115</v>
      </c>
      <c r="R320" s="3" t="str">
        <f>IFERROR(MID(VLOOKUP($B320,Seqs!$A:$B,2,0),S320,1),"")</f>
        <v>F</v>
      </c>
      <c r="S320" s="3">
        <v>118</v>
      </c>
      <c r="T320" s="3" t="str">
        <f>IFERROR(MID(VLOOKUP($B320,Seqs!$A:$B,2,0),U320,1),"")</f>
        <v>G</v>
      </c>
      <c r="U320" s="3">
        <v>119</v>
      </c>
      <c r="V320" s="3" t="str">
        <f>IFERROR(MID(VLOOKUP($B320,Seqs!$A:$B,2,0),W320,1),"")</f>
        <v>H</v>
      </c>
      <c r="W320" s="3">
        <v>154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T</v>
      </c>
      <c r="AC320" s="9">
        <v>163</v>
      </c>
      <c r="AD320" s="3" t="str">
        <f>IFERROR(MID(VLOOKUP($B320,Seqs!$A:$B,2,0),AE320,1),"")</f>
        <v>G</v>
      </c>
      <c r="AE320" s="3">
        <v>189</v>
      </c>
      <c r="AF320" s="3" t="str">
        <f>IFERROR(MID(VLOOKUP($B320,Seqs!$A:$B,2,0),AG320,1),"")</f>
        <v>C</v>
      </c>
      <c r="AG320" s="3">
        <v>200</v>
      </c>
      <c r="AH320" s="3" t="str">
        <f>IFERROR(MID(VLOOKUP($B320,Seqs!$A:$B,2,0),AI320,1),"")</f>
        <v>V</v>
      </c>
      <c r="AI320" s="3">
        <v>202</v>
      </c>
      <c r="AJ320" s="3" t="str">
        <f>IFERROR(MID(VLOOKUP($B320,Seqs!$A:$B,2,0),AK320,1),"")</f>
        <v>P</v>
      </c>
      <c r="AK320" s="3">
        <v>207</v>
      </c>
      <c r="AL320" s="3" t="str">
        <f>IFERROR(MID(VLOOKUP($B320,Seqs!$A:$B,2,0),AM320,1),"")</f>
        <v>L</v>
      </c>
      <c r="AM320" s="3">
        <v>242</v>
      </c>
      <c r="AN320" s="3" t="str">
        <f>IFERROR(MID(VLOOKUP($B320,Seqs!$A:$B,2,0),AO320,1),"")</f>
        <v>S</v>
      </c>
      <c r="AO320" s="3">
        <v>251</v>
      </c>
      <c r="AP320" s="3" t="str">
        <f>IFERROR(MID(VLOOKUP($B320,Seqs!$A:$B,2,0),AQ320,1),"")</f>
        <v>G</v>
      </c>
      <c r="AQ320" s="3">
        <v>289</v>
      </c>
      <c r="AR320" s="3" t="str">
        <f>IFERROR(MID(VLOOKUP($B320,Seqs!$A:$B,2,0),AS320,1),"")</f>
        <v>S</v>
      </c>
      <c r="AS320" s="3">
        <v>294</v>
      </c>
      <c r="AT320" s="3" t="str">
        <f>IFERROR(MID(VLOOKUP($B320,Seqs!$A:$B,2,0),AU320,1),"")</f>
        <v>L</v>
      </c>
      <c r="AU320" s="3">
        <v>322</v>
      </c>
      <c r="AV320" s="3" t="str">
        <f>IFERROR(MID(VLOOKUP($B320,Seqs!$A:$B,2,0),AW320,1),"")</f>
        <v>D</v>
      </c>
      <c r="AW320" s="3">
        <v>323</v>
      </c>
      <c r="AX320" s="3" t="str">
        <f>IFERROR(MID(VLOOKUP($B320,Seqs!$A:$B,2,0),AY320,1),"")</f>
        <v>R</v>
      </c>
      <c r="AY320" s="3">
        <v>331</v>
      </c>
      <c r="AZ320" s="77" t="str">
        <f>VLOOKUP(B320,Classification!A:D,2,0)</f>
        <v>A</v>
      </c>
      <c r="BA320" s="94" t="str">
        <f>VLOOKUP(B320,Classification!A:D,4,0)</f>
        <v>Opioid</v>
      </c>
      <c r="BB320" s="27" t="b">
        <f t="shared" si="2291"/>
        <v>1</v>
      </c>
      <c r="BC320" s="23">
        <f t="shared" si="2012"/>
        <v>248</v>
      </c>
      <c r="BD320" s="5" t="s">
        <v>23</v>
      </c>
      <c r="BE320" s="3" t="s">
        <v>1370</v>
      </c>
      <c r="BF320" s="118">
        <v>3</v>
      </c>
      <c r="BG320" s="49" t="s">
        <v>1</v>
      </c>
      <c r="BH320" s="49" t="s">
        <v>1373</v>
      </c>
      <c r="BI320" s="1" t="s">
        <v>1356</v>
      </c>
      <c r="BJ320" s="70" t="s">
        <v>1283</v>
      </c>
      <c r="BK320" s="57" t="s">
        <v>1283</v>
      </c>
      <c r="BL320" s="57" t="s">
        <v>1283</v>
      </c>
      <c r="BM320" s="57" t="s">
        <v>1283</v>
      </c>
      <c r="BN320" s="57" t="s">
        <v>1283</v>
      </c>
      <c r="BO320" s="57" t="s">
        <v>1283</v>
      </c>
      <c r="BP320" s="57" t="s">
        <v>1283</v>
      </c>
      <c r="BQ320" s="57" t="s">
        <v>1283</v>
      </c>
      <c r="BR320" s="57" t="s">
        <v>1283</v>
      </c>
      <c r="BS320" s="57" t="s">
        <v>1283</v>
      </c>
      <c r="BT320" s="57" t="s">
        <v>1283</v>
      </c>
      <c r="BU320" s="57" t="s">
        <v>1283</v>
      </c>
      <c r="BV320" s="70">
        <f t="shared" si="2013"/>
        <v>48</v>
      </c>
      <c r="BW320" s="71" t="str">
        <f t="shared" si="2014"/>
        <v>-</v>
      </c>
      <c r="BX320" s="72">
        <f t="shared" si="2015"/>
        <v>84</v>
      </c>
      <c r="BY320" s="71">
        <f t="shared" si="2016"/>
        <v>115</v>
      </c>
      <c r="BZ320" s="72">
        <f t="shared" si="2017"/>
        <v>119</v>
      </c>
      <c r="CA320" s="71" t="str">
        <f t="shared" si="2018"/>
        <v>-</v>
      </c>
      <c r="CB320" s="72">
        <f t="shared" si="2019"/>
        <v>163</v>
      </c>
      <c r="CC320" s="71">
        <f t="shared" si="2020"/>
        <v>200</v>
      </c>
      <c r="CD320" s="72">
        <f t="shared" si="2021"/>
        <v>207</v>
      </c>
      <c r="CE320" s="71">
        <f t="shared" si="2022"/>
        <v>251</v>
      </c>
      <c r="CF320" s="72">
        <f t="shared" si="2023"/>
        <v>294</v>
      </c>
      <c r="CG320" s="71">
        <f t="shared" si="2024"/>
        <v>323</v>
      </c>
      <c r="CH320" s="70">
        <f t="shared" si="2025"/>
        <v>79</v>
      </c>
      <c r="CI320" s="71" t="str">
        <f t="shared" si="2026"/>
        <v>-</v>
      </c>
      <c r="CJ320" s="72">
        <f t="shared" si="2027"/>
        <v>114</v>
      </c>
      <c r="CK320" s="72">
        <f t="shared" si="2028"/>
        <v>118</v>
      </c>
      <c r="CL320" s="72">
        <f t="shared" si="2029"/>
        <v>154</v>
      </c>
      <c r="CM320" s="72" t="str">
        <f t="shared" si="2030"/>
        <v>-</v>
      </c>
      <c r="CN320" s="72">
        <f t="shared" si="2031"/>
        <v>189</v>
      </c>
      <c r="CO320" s="72">
        <f t="shared" si="2032"/>
        <v>202</v>
      </c>
      <c r="CP320" s="72">
        <f t="shared" si="2033"/>
        <v>242</v>
      </c>
      <c r="CQ320" s="72">
        <f t="shared" si="2034"/>
        <v>289</v>
      </c>
      <c r="CR320" s="72">
        <f t="shared" si="2035"/>
        <v>322</v>
      </c>
      <c r="CS320" s="72">
        <f t="shared" si="2036"/>
        <v>331</v>
      </c>
      <c r="CT320" s="23" t="e">
        <f t="shared" si="2037"/>
        <v>#VALUE!</v>
      </c>
    </row>
    <row r="321" spans="1:1030" x14ac:dyDescent="0.2">
      <c r="A321" s="3" t="str">
        <f t="shared" si="2290"/>
        <v>opsd_bovin__wt</v>
      </c>
      <c r="B321" s="3" t="s">
        <v>915</v>
      </c>
      <c r="C321" s="3" t="s">
        <v>100</v>
      </c>
      <c r="D321" s="3" t="str">
        <f>IFERROR(MID(VLOOKUP($B321,Seqs!$A:$B,2,0),E321,1),"")</f>
        <v>E</v>
      </c>
      <c r="E321" s="105">
        <v>33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>K</v>
      </c>
      <c r="I321" s="23">
        <v>66</v>
      </c>
      <c r="J321" s="3" t="str">
        <f>IFERROR(MID(VLOOKUP($B321,Seqs!$A:$B,2,0),K321,1),"")</f>
        <v>R</v>
      </c>
      <c r="K321" s="23">
        <v>69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G</v>
      </c>
      <c r="O321" s="105">
        <v>101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>P</v>
      </c>
      <c r="Y321" s="3">
        <v>142</v>
      </c>
      <c r="Z321" s="3" t="str">
        <f>IFERROR(MID(VLOOKUP($B321,Seqs!$A:$B,2,0),AA321,1),"")</f>
        <v>F</v>
      </c>
      <c r="AA321" s="105">
        <v>148</v>
      </c>
      <c r="AB321" s="3" t="str">
        <f>IFERROR(MID(VLOOKUP($B321,Seqs!$A:$B,2,0),AC321,1),"")</f>
        <v>G</v>
      </c>
      <c r="AC321" s="105">
        <v>149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199</v>
      </c>
      <c r="AL321" s="3" t="str">
        <f>IFERROR(MID(VLOOKUP($B321,Seqs!$A:$B,2,0),AM321,1),"")</f>
        <v>Q</v>
      </c>
      <c r="AM321" s="3">
        <v>237</v>
      </c>
      <c r="AN321" s="3" t="str">
        <f>IFERROR(MID(VLOOKUP($B321,Seqs!$A:$B,2,0),AO321,1),"")</f>
        <v>S</v>
      </c>
      <c r="AO321" s="105">
        <v>240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G</v>
      </c>
      <c r="AS321" s="3">
        <v>284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C</v>
      </c>
      <c r="AY321" s="3">
        <v>322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si="2291"/>
        <v>1</v>
      </c>
      <c r="BC321" s="23">
        <f t="shared" si="2012"/>
        <v>261</v>
      </c>
      <c r="BD321" s="34" t="s">
        <v>23</v>
      </c>
      <c r="BE321" s="3" t="s">
        <v>23</v>
      </c>
      <c r="BF321" s="118" t="s">
        <v>23</v>
      </c>
      <c r="BG321" s="49" t="s">
        <v>1368</v>
      </c>
      <c r="BH321" s="49" t="s">
        <v>1373</v>
      </c>
      <c r="BI321" s="1"/>
      <c r="BJ321" s="70" t="s">
        <v>1283</v>
      </c>
      <c r="BK321" s="57" t="s">
        <v>1283</v>
      </c>
      <c r="BL321" s="57" t="s">
        <v>1283</v>
      </c>
      <c r="BM321" s="57" t="s">
        <v>1283</v>
      </c>
      <c r="BN321" s="57" t="s">
        <v>1283</v>
      </c>
      <c r="BO321" s="57" t="s">
        <v>1283</v>
      </c>
      <c r="BP321" s="57" t="s">
        <v>1283</v>
      </c>
      <c r="BQ321" s="57" t="s">
        <v>1283</v>
      </c>
      <c r="BR321" s="57" t="s">
        <v>1283</v>
      </c>
      <c r="BS321" s="57" t="s">
        <v>1283</v>
      </c>
      <c r="BT321" s="57" t="s">
        <v>1283</v>
      </c>
      <c r="BU321" s="57" t="s">
        <v>1283</v>
      </c>
      <c r="BV321" s="70">
        <f t="shared" si="2013"/>
        <v>33</v>
      </c>
      <c r="BW321" s="71">
        <f t="shared" si="2014"/>
        <v>66</v>
      </c>
      <c r="BX321" s="72">
        <f t="shared" si="2015"/>
        <v>70</v>
      </c>
      <c r="BY321" s="71">
        <f t="shared" si="2016"/>
        <v>102</v>
      </c>
      <c r="BZ321" s="72">
        <f t="shared" si="2017"/>
        <v>106</v>
      </c>
      <c r="CA321" s="71">
        <f t="shared" si="2018"/>
        <v>142</v>
      </c>
      <c r="CB321" s="72">
        <f t="shared" si="2019"/>
        <v>149</v>
      </c>
      <c r="CC321" s="71">
        <f t="shared" si="2020"/>
        <v>187</v>
      </c>
      <c r="CD321" s="72">
        <f t="shared" si="2021"/>
        <v>199</v>
      </c>
      <c r="CE321" s="71">
        <f t="shared" si="2022"/>
        <v>240</v>
      </c>
      <c r="CF321" s="72">
        <f t="shared" si="2023"/>
        <v>284</v>
      </c>
      <c r="CG321" s="71">
        <f t="shared" si="2024"/>
        <v>310</v>
      </c>
      <c r="CH321" s="70">
        <f t="shared" si="2025"/>
        <v>65</v>
      </c>
      <c r="CI321" s="71">
        <f t="shared" si="2026"/>
        <v>69</v>
      </c>
      <c r="CJ321" s="72">
        <f t="shared" si="2027"/>
        <v>101</v>
      </c>
      <c r="CK321" s="72">
        <f t="shared" si="2028"/>
        <v>105</v>
      </c>
      <c r="CL321" s="72">
        <f t="shared" si="2029"/>
        <v>141</v>
      </c>
      <c r="CM321" s="72">
        <f t="shared" si="2030"/>
        <v>148</v>
      </c>
      <c r="CN321" s="72">
        <f t="shared" si="2031"/>
        <v>173</v>
      </c>
      <c r="CO321" s="72">
        <f t="shared" si="2032"/>
        <v>189</v>
      </c>
      <c r="CP321" s="72">
        <f t="shared" si="2033"/>
        <v>237</v>
      </c>
      <c r="CQ321" s="72">
        <f t="shared" si="2034"/>
        <v>278</v>
      </c>
      <c r="CR321" s="72">
        <f t="shared" si="2035"/>
        <v>309</v>
      </c>
      <c r="CS321" s="72">
        <f t="shared" si="2036"/>
        <v>322</v>
      </c>
      <c r="CT321" s="23">
        <f t="shared" si="2037"/>
        <v>1</v>
      </c>
    </row>
    <row r="322" spans="1:1030" x14ac:dyDescent="0.2">
      <c r="A322" s="3" t="str">
        <f t="shared" si="2290"/>
        <v>opsd_bovin_1GZM</v>
      </c>
      <c r="B322" s="3" t="s">
        <v>915</v>
      </c>
      <c r="C322" s="3" t="s">
        <v>1333</v>
      </c>
      <c r="D322" s="3" t="str">
        <f>IFERROR(MID(VLOOKUP($B322,Seqs!$A:$B,2,0),E322,1),"")</f>
        <v>E</v>
      </c>
      <c r="E322" s="105">
        <v>33</v>
      </c>
      <c r="F322" s="3" t="str">
        <f>IFERROR(MID(VLOOKUP($B322,Seqs!$A:$B,2,0),G322,1),"")</f>
        <v>H</v>
      </c>
      <c r="G322" s="3">
        <v>65</v>
      </c>
      <c r="H322" s="3" t="str">
        <f>IFERROR(MID(VLOOKUP($B322,Seqs!$A:$B,2,0),I322,1),"")</f>
        <v>K</v>
      </c>
      <c r="I322" s="23">
        <v>66</v>
      </c>
      <c r="J322" s="3" t="str">
        <f>IFERROR(MID(VLOOKUP($B322,Seqs!$A:$B,2,0),K322,1),"")</f>
        <v>R</v>
      </c>
      <c r="K322" s="23">
        <v>69</v>
      </c>
      <c r="L322" s="3" t="str">
        <f>IFERROR(MID(VLOOKUP($B322,Seqs!$A:$B,2,0),M322,1),"")</f>
        <v>T</v>
      </c>
      <c r="M322" s="3">
        <v>70</v>
      </c>
      <c r="N322" s="3" t="str">
        <f>IFERROR(MID(VLOOKUP($B322,Seqs!$A:$B,2,0),O322,1),"")</f>
        <v>H</v>
      </c>
      <c r="O322" s="3">
        <v>100</v>
      </c>
      <c r="P322" s="3" t="str">
        <f>IFERROR(MID(VLOOKUP($B322,Seqs!$A:$B,2,0),Q322,1),"")</f>
        <v>Y</v>
      </c>
      <c r="Q322" s="3">
        <v>102</v>
      </c>
      <c r="R322" s="3" t="str">
        <f>IFERROR(MID(VLOOKUP($B322,Seqs!$A:$B,2,0),S322,1),"")</f>
        <v>F</v>
      </c>
      <c r="S322" s="3">
        <v>105</v>
      </c>
      <c r="T322" s="3" t="str">
        <f>IFERROR(MID(VLOOKUP($B322,Seqs!$A:$B,2,0),U322,1),"")</f>
        <v>G</v>
      </c>
      <c r="U322" s="3">
        <v>106</v>
      </c>
      <c r="V322" s="3" t="str">
        <f>IFERROR(MID(VLOOKUP($B322,Seqs!$A:$B,2,0),W322,1),"")</f>
        <v>K</v>
      </c>
      <c r="W322" s="3">
        <v>141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G</v>
      </c>
      <c r="AC322" s="9">
        <v>149</v>
      </c>
      <c r="AD322" s="3" t="str">
        <f>IFERROR(MID(VLOOKUP($B322,Seqs!$A:$B,2,0),AE322,1),"")</f>
        <v>V</v>
      </c>
      <c r="AE322" s="3">
        <v>173</v>
      </c>
      <c r="AF322" s="3" t="str">
        <f>IFERROR(MID(VLOOKUP($B322,Seqs!$A:$B,2,0),AG322,1),"")</f>
        <v>C</v>
      </c>
      <c r="AG322" s="3">
        <v>187</v>
      </c>
      <c r="AH322" s="3" t="str">
        <f>IFERROR(MID(VLOOKUP($B322,Seqs!$A:$B,2,0),AI322,1),"")</f>
        <v>I</v>
      </c>
      <c r="AI322" s="3">
        <v>189</v>
      </c>
      <c r="AJ322" s="3" t="str">
        <f>IFERROR(MID(VLOOKUP($B322,Seqs!$A:$B,2,0),AK322,1),"")</f>
        <v>N</v>
      </c>
      <c r="AK322" s="3">
        <v>199</v>
      </c>
      <c r="AL322" s="3" t="str">
        <f>IFERROR(MID(VLOOKUP($B322,Seqs!$A:$B,2,0),AM322,1),"")</f>
        <v>A</v>
      </c>
      <c r="AM322" s="3">
        <v>233</v>
      </c>
      <c r="AN322" s="3" t="str">
        <f>IFERROR(MID(VLOOKUP($B322,Seqs!$A:$B,2,0),AO322,1),"")</f>
        <v>A</v>
      </c>
      <c r="AO322" s="3">
        <v>241</v>
      </c>
      <c r="AP322" s="3" t="str">
        <f>IFERROR(MID(VLOOKUP($B322,Seqs!$A:$B,2,0),AQ322,1),"")</f>
        <v>H</v>
      </c>
      <c r="AQ322" s="3">
        <v>278</v>
      </c>
      <c r="AR322" s="3" t="str">
        <f>IFERROR(MID(VLOOKUP($B322,Seqs!$A:$B,2,0),AS322,1),"")</f>
        <v>G</v>
      </c>
      <c r="AS322" s="3">
        <v>284</v>
      </c>
      <c r="AT322" s="3" t="str">
        <f>IFERROR(MID(VLOOKUP($B322,Seqs!$A:$B,2,0),AU322,1),"")</f>
        <v>M</v>
      </c>
      <c r="AU322" s="3">
        <v>309</v>
      </c>
      <c r="AV322" s="3" t="str">
        <f>IFERROR(MID(VLOOKUP($B322,Seqs!$A:$B,2,0),AW322,1),"")</f>
        <v>N</v>
      </c>
      <c r="AW322" s="3">
        <v>310</v>
      </c>
      <c r="AX322" s="3" t="str">
        <f>IFERROR(MID(VLOOKUP($B322,Seqs!$A:$B,2,0),AY322,1),"")</f>
        <v>C</v>
      </c>
      <c r="AY322" s="3">
        <v>322</v>
      </c>
      <c r="AZ322" s="77" t="str">
        <f>VLOOKUP(B322,Classification!A:D,2,0)</f>
        <v>A</v>
      </c>
      <c r="BA322" s="94" t="str">
        <f>VLOOKUP(B322,Classification!A:D,4,0)</f>
        <v>Opsins</v>
      </c>
      <c r="BB322" s="27" t="b">
        <f t="shared" si="2291"/>
        <v>1</v>
      </c>
      <c r="BC322" s="23">
        <f t="shared" si="2012"/>
        <v>249</v>
      </c>
      <c r="BD322" s="56" t="s">
        <v>1372</v>
      </c>
      <c r="BE322" s="3" t="s">
        <v>1370</v>
      </c>
      <c r="BF322" s="118">
        <v>2.65</v>
      </c>
      <c r="BG322" s="49" t="s">
        <v>1373</v>
      </c>
      <c r="BH322" s="49" t="s">
        <v>1373</v>
      </c>
      <c r="BI322" s="1"/>
      <c r="BJ322" s="70" t="s">
        <v>1283</v>
      </c>
      <c r="BK322" s="57" t="s">
        <v>1283</v>
      </c>
      <c r="BL322" s="57" t="s">
        <v>1283</v>
      </c>
      <c r="BM322" s="57" t="s">
        <v>1283</v>
      </c>
      <c r="BN322" s="57" t="s">
        <v>1283</v>
      </c>
      <c r="BO322" s="57" t="s">
        <v>1283</v>
      </c>
      <c r="BP322" s="57" t="s">
        <v>1283</v>
      </c>
      <c r="BQ322" s="57" t="s">
        <v>1283</v>
      </c>
      <c r="BR322" s="57" t="s">
        <v>1283</v>
      </c>
      <c r="BS322" s="57" t="s">
        <v>1283</v>
      </c>
      <c r="BT322" s="57" t="s">
        <v>1283</v>
      </c>
      <c r="BU322" s="57" t="s">
        <v>1283</v>
      </c>
      <c r="BV322" s="70">
        <f t="shared" si="2013"/>
        <v>33</v>
      </c>
      <c r="BW322" s="71">
        <f t="shared" si="2014"/>
        <v>66</v>
      </c>
      <c r="BX322" s="72">
        <f t="shared" si="2015"/>
        <v>70</v>
      </c>
      <c r="BY322" s="71">
        <f t="shared" si="2016"/>
        <v>102</v>
      </c>
      <c r="BZ322" s="72">
        <f t="shared" si="2017"/>
        <v>106</v>
      </c>
      <c r="CA322" s="71" t="str">
        <f t="shared" si="2018"/>
        <v>-</v>
      </c>
      <c r="CB322" s="72">
        <f t="shared" si="2019"/>
        <v>149</v>
      </c>
      <c r="CC322" s="71">
        <f t="shared" si="2020"/>
        <v>187</v>
      </c>
      <c r="CD322" s="72">
        <f t="shared" si="2021"/>
        <v>199</v>
      </c>
      <c r="CE322" s="71">
        <f t="shared" si="2022"/>
        <v>241</v>
      </c>
      <c r="CF322" s="72">
        <f t="shared" si="2023"/>
        <v>284</v>
      </c>
      <c r="CG322" s="71">
        <f t="shared" si="2024"/>
        <v>310</v>
      </c>
      <c r="CH322" s="70">
        <f t="shared" si="2025"/>
        <v>65</v>
      </c>
      <c r="CI322" s="71">
        <f t="shared" si="2026"/>
        <v>69</v>
      </c>
      <c r="CJ322" s="72">
        <f t="shared" si="2027"/>
        <v>100</v>
      </c>
      <c r="CK322" s="72">
        <f t="shared" si="2028"/>
        <v>105</v>
      </c>
      <c r="CL322" s="72">
        <f t="shared" si="2029"/>
        <v>141</v>
      </c>
      <c r="CM322" s="72" t="str">
        <f t="shared" si="2030"/>
        <v>-</v>
      </c>
      <c r="CN322" s="72">
        <f t="shared" si="2031"/>
        <v>173</v>
      </c>
      <c r="CO322" s="72">
        <f t="shared" si="2032"/>
        <v>189</v>
      </c>
      <c r="CP322" s="72">
        <f t="shared" si="2033"/>
        <v>233</v>
      </c>
      <c r="CQ322" s="72">
        <f t="shared" si="2034"/>
        <v>278</v>
      </c>
      <c r="CR322" s="72">
        <f t="shared" si="2035"/>
        <v>309</v>
      </c>
      <c r="CS322" s="72">
        <f t="shared" si="2036"/>
        <v>322</v>
      </c>
      <c r="CT322" s="23">
        <f t="shared" si="2037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2290"/>
        <v>opsd_bovin_1U19</v>
      </c>
      <c r="B323" s="3" t="s">
        <v>915</v>
      </c>
      <c r="C323" s="3" t="s">
        <v>53</v>
      </c>
      <c r="D323" s="3" t="str">
        <f>IFERROR(MID(VLOOKUP($B323,Seqs!$A:$B,2,0),E323,1),"")</f>
        <v>E</v>
      </c>
      <c r="E323" s="105">
        <v>33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G</v>
      </c>
      <c r="O323" s="3">
        <v>101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V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225</v>
      </c>
      <c r="AN323" s="3" t="str">
        <f>IFERROR(MID(VLOOKUP($B323,Seqs!$A:$B,2,0),AO323,1),"")</f>
        <v>T</v>
      </c>
      <c r="AO323" s="3">
        <v>243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 t="shared" si="2291"/>
        <v>1</v>
      </c>
      <c r="BC323" s="23">
        <f t="shared" si="2012"/>
        <v>240</v>
      </c>
      <c r="BD323" s="74" t="s">
        <v>23</v>
      </c>
      <c r="BE323" s="3" t="s">
        <v>1370</v>
      </c>
      <c r="BF323" s="118">
        <v>2.2000000000000002</v>
      </c>
      <c r="BG323" s="49" t="s">
        <v>1</v>
      </c>
      <c r="BH323" s="49" t="s">
        <v>1373</v>
      </c>
      <c r="BI323" s="1"/>
      <c r="BJ323" s="70" t="s">
        <v>1283</v>
      </c>
      <c r="BK323" s="57" t="s">
        <v>1283</v>
      </c>
      <c r="BL323" s="57" t="s">
        <v>1283</v>
      </c>
      <c r="BM323" s="57" t="s">
        <v>1283</v>
      </c>
      <c r="BN323" s="57" t="s">
        <v>1283</v>
      </c>
      <c r="BO323" s="57" t="s">
        <v>1283</v>
      </c>
      <c r="BP323" s="57" t="s">
        <v>1283</v>
      </c>
      <c r="BQ323" s="57" t="s">
        <v>1283</v>
      </c>
      <c r="BR323" s="57" t="s">
        <v>1283</v>
      </c>
      <c r="BS323" s="57" t="s">
        <v>1283</v>
      </c>
      <c r="BT323" s="57" t="s">
        <v>1283</v>
      </c>
      <c r="BU323" s="57" t="s">
        <v>1283</v>
      </c>
      <c r="BV323" s="70">
        <f t="shared" si="2013"/>
        <v>33</v>
      </c>
      <c r="BW323" s="71">
        <f t="shared" si="2014"/>
        <v>66</v>
      </c>
      <c r="BX323" s="72">
        <f t="shared" si="2015"/>
        <v>70</v>
      </c>
      <c r="BY323" s="71">
        <f t="shared" si="2016"/>
        <v>102</v>
      </c>
      <c r="BZ323" s="72">
        <f t="shared" si="2017"/>
        <v>106</v>
      </c>
      <c r="CA323" s="71" t="str">
        <f t="shared" si="2018"/>
        <v>-</v>
      </c>
      <c r="CB323" s="72">
        <f t="shared" si="2019"/>
        <v>149</v>
      </c>
      <c r="CC323" s="71">
        <f t="shared" si="2020"/>
        <v>187</v>
      </c>
      <c r="CD323" s="72">
        <f t="shared" si="2021"/>
        <v>199</v>
      </c>
      <c r="CE323" s="71">
        <f t="shared" si="2022"/>
        <v>243</v>
      </c>
      <c r="CF323" s="72">
        <f t="shared" si="2023"/>
        <v>284</v>
      </c>
      <c r="CG323" s="71">
        <f t="shared" si="2024"/>
        <v>310</v>
      </c>
      <c r="CH323" s="70">
        <f t="shared" si="2025"/>
        <v>65</v>
      </c>
      <c r="CI323" s="71">
        <f t="shared" si="2026"/>
        <v>69</v>
      </c>
      <c r="CJ323" s="72">
        <f t="shared" si="2027"/>
        <v>101</v>
      </c>
      <c r="CK323" s="72">
        <f t="shared" si="2028"/>
        <v>105</v>
      </c>
      <c r="CL323" s="72">
        <f t="shared" si="2029"/>
        <v>141</v>
      </c>
      <c r="CM323" s="72" t="str">
        <f t="shared" si="2030"/>
        <v>-</v>
      </c>
      <c r="CN323" s="72">
        <f t="shared" si="2031"/>
        <v>173</v>
      </c>
      <c r="CO323" s="72">
        <f t="shared" si="2032"/>
        <v>189</v>
      </c>
      <c r="CP323" s="72">
        <f t="shared" si="2033"/>
        <v>225</v>
      </c>
      <c r="CQ323" s="72">
        <f t="shared" si="2034"/>
        <v>278</v>
      </c>
      <c r="CR323" s="72">
        <f t="shared" si="2035"/>
        <v>309</v>
      </c>
      <c r="CS323" s="72">
        <f t="shared" si="2036"/>
        <v>322</v>
      </c>
      <c r="CT323" s="23">
        <f t="shared" si="2037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si="2290"/>
        <v>opsd_bovin_2X72</v>
      </c>
      <c r="B324" s="2" t="s">
        <v>915</v>
      </c>
      <c r="C324" s="3" t="s">
        <v>1365</v>
      </c>
      <c r="D324" s="3" t="str">
        <f>IFERROR(MID(VLOOKUP($B324,Seqs!$A:$B,2,0),E324,1),"")</f>
        <v>E</v>
      </c>
      <c r="E324" s="105">
        <v>33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G</v>
      </c>
      <c r="O324" s="3">
        <v>101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G</v>
      </c>
      <c r="AC324" s="9">
        <v>149</v>
      </c>
      <c r="AD324" s="3" t="str">
        <f>IFERROR(MID(VLOOKUP($B324,Seqs!$A:$B,2,0),AE324,1),"")</f>
        <v>V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>_xlfn.AGGREGATE(9,6,CH324:CS324)-_xlfn.AGGREGATE(9,6,BV324:CG324)+12</f>
        <v>254</v>
      </c>
      <c r="BD324" s="56" t="s">
        <v>23</v>
      </c>
      <c r="BE324" s="3" t="s">
        <v>1287</v>
      </c>
      <c r="BF324" s="118">
        <v>3</v>
      </c>
      <c r="BG324" s="49" t="s">
        <v>1373</v>
      </c>
      <c r="BH324" s="49" t="s">
        <v>1373</v>
      </c>
      <c r="BI324" s="1"/>
      <c r="BJ324" s="70" t="s">
        <v>1283</v>
      </c>
      <c r="BK324" s="57" t="s">
        <v>1283</v>
      </c>
      <c r="BL324" s="57" t="s">
        <v>1283</v>
      </c>
      <c r="BM324" s="57" t="s">
        <v>1283</v>
      </c>
      <c r="BN324" s="57" t="s">
        <v>1283</v>
      </c>
      <c r="BO324" s="57" t="s">
        <v>1283</v>
      </c>
      <c r="BP324" s="57" t="s">
        <v>1283</v>
      </c>
      <c r="BQ324" s="57" t="s">
        <v>1283</v>
      </c>
      <c r="BR324" s="57" t="s">
        <v>1283</v>
      </c>
      <c r="BS324" s="57" t="s">
        <v>1283</v>
      </c>
      <c r="BT324" s="57" t="s">
        <v>1283</v>
      </c>
      <c r="BU324" s="57" t="s">
        <v>1283</v>
      </c>
      <c r="BV324" s="70">
        <f>E324</f>
        <v>33</v>
      </c>
      <c r="BW324" s="71">
        <f>I324</f>
        <v>66</v>
      </c>
      <c r="BX324" s="72">
        <f>M324</f>
        <v>70</v>
      </c>
      <c r="BY324" s="71">
        <f>Q324</f>
        <v>102</v>
      </c>
      <c r="BZ324" s="72">
        <f>U324</f>
        <v>106</v>
      </c>
      <c r="CA324" s="71" t="str">
        <f>Y324</f>
        <v>-</v>
      </c>
      <c r="CB324" s="72">
        <f>AC324</f>
        <v>149</v>
      </c>
      <c r="CC324" s="71">
        <f>AG324</f>
        <v>187</v>
      </c>
      <c r="CD324" s="72">
        <f>AK324</f>
        <v>199</v>
      </c>
      <c r="CE324" s="71">
        <f>AO324</f>
        <v>241</v>
      </c>
      <c r="CF324" s="72">
        <f>AS324</f>
        <v>284</v>
      </c>
      <c r="CG324" s="71">
        <f>AW324</f>
        <v>310</v>
      </c>
      <c r="CH324" s="70">
        <f>G324</f>
        <v>65</v>
      </c>
      <c r="CI324" s="71">
        <f>K324</f>
        <v>69</v>
      </c>
      <c r="CJ324" s="72">
        <f>O324</f>
        <v>101</v>
      </c>
      <c r="CK324" s="72">
        <f>S324</f>
        <v>105</v>
      </c>
      <c r="CL324" s="72">
        <f>W324</f>
        <v>141</v>
      </c>
      <c r="CM324" s="72" t="str">
        <f>AA324</f>
        <v>-</v>
      </c>
      <c r="CN324" s="72">
        <f>AE324</f>
        <v>173</v>
      </c>
      <c r="CO324" s="72">
        <f>AI324</f>
        <v>189</v>
      </c>
      <c r="CP324" s="72">
        <f>AM324</f>
        <v>237</v>
      </c>
      <c r="CQ324" s="72">
        <f>AQ324</f>
        <v>278</v>
      </c>
      <c r="CR324" s="72">
        <f>AU324</f>
        <v>309</v>
      </c>
      <c r="CS324" s="72">
        <f>AY324</f>
        <v>322</v>
      </c>
      <c r="CT324" s="23">
        <f>M324-K324</f>
        <v>1</v>
      </c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6"/>
      <c r="ACQ324" s="6"/>
      <c r="ACR324" s="6"/>
      <c r="ACS324" s="6"/>
      <c r="ACT324" s="6"/>
      <c r="ACU324" s="6"/>
      <c r="ACV324" s="6"/>
      <c r="ACW324" s="6"/>
      <c r="ACX324" s="6"/>
      <c r="ACY324" s="6"/>
      <c r="ACZ324" s="6"/>
      <c r="ADA324" s="6"/>
      <c r="ADB324" s="6"/>
      <c r="ADC324" s="6"/>
      <c r="ADD324" s="6"/>
      <c r="ADE324" s="6"/>
      <c r="ADF324" s="6"/>
      <c r="ADG324" s="6"/>
      <c r="ADH324" s="6"/>
      <c r="ADI324" s="6"/>
      <c r="ADJ324" s="6"/>
      <c r="ADK324" s="6"/>
      <c r="ADL324" s="6"/>
      <c r="ADM324" s="6"/>
      <c r="ADN324" s="6"/>
      <c r="ADO324" s="6"/>
      <c r="ADP324" s="6"/>
      <c r="ADQ324" s="6"/>
      <c r="ADR324" s="6"/>
      <c r="ADS324" s="6"/>
      <c r="ADT324" s="6"/>
      <c r="ADU324" s="6"/>
      <c r="ADV324" s="6"/>
      <c r="ADW324" s="6"/>
      <c r="ADX324" s="6"/>
      <c r="ADY324" s="6"/>
      <c r="ADZ324" s="6"/>
      <c r="AEA324" s="6"/>
      <c r="AEB324" s="6"/>
      <c r="AEC324" s="6"/>
      <c r="AED324" s="6"/>
      <c r="AEE324" s="6"/>
      <c r="AEF324" s="6"/>
      <c r="AEG324" s="6"/>
      <c r="AEH324" s="6"/>
      <c r="AEI324" s="6"/>
      <c r="AEJ324" s="6"/>
      <c r="AEK324" s="6"/>
      <c r="AEL324" s="6"/>
      <c r="AEM324" s="6"/>
      <c r="AEN324" s="6"/>
      <c r="AEO324" s="6"/>
      <c r="AEP324" s="6"/>
      <c r="AEQ324" s="6"/>
      <c r="AER324" s="6"/>
      <c r="AES324" s="6"/>
      <c r="AET324" s="6"/>
      <c r="AEU324" s="6"/>
      <c r="AEV324" s="6"/>
      <c r="AEW324" s="6"/>
      <c r="AEX324" s="6"/>
      <c r="AEY324" s="6"/>
      <c r="AEZ324" s="6"/>
      <c r="AFA324" s="6"/>
      <c r="AFB324" s="6"/>
      <c r="AFC324" s="6"/>
      <c r="AFD324" s="6"/>
      <c r="AFE324" s="6"/>
      <c r="AFF324" s="6"/>
      <c r="AFG324" s="6"/>
      <c r="AFH324" s="6"/>
      <c r="AFI324" s="6"/>
      <c r="AFJ324" s="6"/>
      <c r="AFK324" s="6"/>
      <c r="AFL324" s="6"/>
      <c r="AFM324" s="6"/>
      <c r="AFN324" s="6"/>
      <c r="AFO324" s="6"/>
      <c r="AFP324" s="6"/>
      <c r="AFQ324" s="6"/>
      <c r="AFR324" s="6"/>
      <c r="AFS324" s="6"/>
      <c r="AFT324" s="6"/>
      <c r="AFU324" s="6"/>
      <c r="AFV324" s="6"/>
      <c r="AFW324" s="6"/>
      <c r="AFX324" s="6"/>
      <c r="AFY324" s="6"/>
      <c r="AFZ324" s="6"/>
      <c r="AGA324" s="6"/>
      <c r="AGB324" s="6"/>
      <c r="AGC324" s="6"/>
      <c r="AGD324" s="6"/>
      <c r="AGE324" s="6"/>
      <c r="AGF324" s="6"/>
      <c r="AGG324" s="6"/>
      <c r="AGH324" s="6"/>
      <c r="AGI324" s="6"/>
      <c r="AGJ324" s="6"/>
      <c r="AGK324" s="6"/>
      <c r="AGL324" s="6"/>
      <c r="AGM324" s="6"/>
      <c r="AGN324" s="6"/>
      <c r="AGO324" s="6"/>
      <c r="AGP324" s="6"/>
      <c r="AGQ324" s="6"/>
      <c r="AGR324" s="6"/>
      <c r="AGS324" s="6"/>
      <c r="AGT324" s="6"/>
      <c r="AGU324" s="6"/>
      <c r="AGV324" s="6"/>
      <c r="AGW324" s="6"/>
      <c r="AGX324" s="6"/>
      <c r="AGY324" s="6"/>
      <c r="AGZ324" s="6"/>
      <c r="AHA324" s="6"/>
      <c r="AHB324" s="6"/>
      <c r="AHC324" s="6"/>
      <c r="AHD324" s="6"/>
      <c r="AHE324" s="6"/>
      <c r="AHF324" s="6"/>
      <c r="AHG324" s="6"/>
      <c r="AHH324" s="6"/>
      <c r="AHI324" s="6"/>
      <c r="AHJ324" s="6"/>
      <c r="AHK324" s="6"/>
      <c r="AHL324" s="6"/>
      <c r="AHM324" s="6"/>
      <c r="AHN324" s="6"/>
      <c r="AHO324" s="6"/>
      <c r="AHP324" s="6"/>
      <c r="AHQ324" s="6"/>
      <c r="AHR324" s="6"/>
      <c r="AHS324" s="6"/>
      <c r="AHT324" s="6"/>
      <c r="AHU324" s="6"/>
      <c r="AHV324" s="6"/>
      <c r="AHW324" s="6"/>
      <c r="AHX324" s="6"/>
      <c r="AHY324" s="6"/>
      <c r="AHZ324" s="6"/>
      <c r="AIA324" s="6"/>
      <c r="AIB324" s="6"/>
      <c r="AIC324" s="6"/>
      <c r="AID324" s="6"/>
      <c r="AIE324" s="6"/>
      <c r="AIF324" s="6"/>
      <c r="AIG324" s="6"/>
      <c r="AIH324" s="6"/>
      <c r="AII324" s="6"/>
      <c r="AIJ324" s="6"/>
      <c r="AIK324" s="6"/>
      <c r="AIL324" s="6"/>
      <c r="AIM324" s="6"/>
      <c r="AIN324" s="6"/>
      <c r="AIO324" s="6"/>
      <c r="AIP324" s="6"/>
      <c r="AIQ324" s="6"/>
      <c r="AIR324" s="6"/>
      <c r="AIS324" s="6"/>
      <c r="AIT324" s="6"/>
      <c r="AIU324" s="6"/>
      <c r="AIV324" s="6"/>
      <c r="AIW324" s="6"/>
      <c r="AIX324" s="6"/>
      <c r="AIY324" s="6"/>
      <c r="AIZ324" s="6"/>
      <c r="AJA324" s="6"/>
      <c r="AJB324" s="6"/>
      <c r="AJC324" s="6"/>
      <c r="AJD324" s="6"/>
      <c r="AJE324" s="6"/>
      <c r="AJF324" s="6"/>
      <c r="AJG324" s="6"/>
      <c r="AJH324" s="6"/>
      <c r="AJI324" s="6"/>
      <c r="AJJ324" s="6"/>
      <c r="AJK324" s="6"/>
      <c r="AJL324" s="6"/>
      <c r="AJM324" s="6"/>
      <c r="AJN324" s="6"/>
      <c r="AJO324" s="6"/>
      <c r="AJP324" s="6"/>
      <c r="AJQ324" s="6"/>
      <c r="AJR324" s="6"/>
      <c r="AJS324" s="6"/>
      <c r="AJT324" s="6"/>
      <c r="AJU324" s="6"/>
      <c r="AJV324" s="6"/>
      <c r="AJW324" s="6"/>
      <c r="AJX324" s="6"/>
      <c r="AJY324" s="6"/>
      <c r="AJZ324" s="6"/>
      <c r="AKA324" s="6"/>
      <c r="AKB324" s="6"/>
      <c r="AKC324" s="6"/>
      <c r="AKD324" s="6"/>
      <c r="AKE324" s="6"/>
      <c r="AKF324" s="6"/>
      <c r="AKG324" s="6"/>
      <c r="AKH324" s="6"/>
      <c r="AKI324" s="6"/>
      <c r="AKJ324" s="6"/>
      <c r="AKK324" s="6"/>
      <c r="AKL324" s="6"/>
      <c r="AKM324" s="6"/>
      <c r="AKN324" s="6"/>
      <c r="AKO324" s="6"/>
      <c r="AKP324" s="6"/>
      <c r="AKQ324" s="6"/>
      <c r="AKR324" s="6"/>
      <c r="AKS324" s="6"/>
      <c r="AKT324" s="6"/>
      <c r="AKU324" s="6"/>
      <c r="AKV324" s="6"/>
      <c r="AKW324" s="6"/>
      <c r="AKX324" s="6"/>
      <c r="AKY324" s="6"/>
      <c r="AKZ324" s="6"/>
      <c r="ALA324" s="6"/>
      <c r="ALB324" s="6"/>
      <c r="ALC324" s="6"/>
      <c r="ALD324" s="6"/>
      <c r="ALE324" s="6"/>
      <c r="ALF324" s="6"/>
      <c r="ALG324" s="6"/>
      <c r="ALH324" s="6"/>
      <c r="ALI324" s="6"/>
      <c r="ALJ324" s="6"/>
      <c r="ALK324" s="6"/>
      <c r="ALL324" s="6"/>
      <c r="ALM324" s="6"/>
      <c r="ALN324" s="6"/>
      <c r="ALO324" s="6"/>
      <c r="ALP324" s="6"/>
      <c r="ALQ324" s="6"/>
      <c r="ALR324" s="6"/>
      <c r="ALS324" s="6"/>
      <c r="ALT324" s="6"/>
      <c r="ALU324" s="6"/>
      <c r="ALV324" s="6"/>
      <c r="ALW324" s="6"/>
      <c r="ALX324" s="6"/>
      <c r="ALY324" s="6"/>
      <c r="ALZ324" s="6"/>
      <c r="AMA324" s="6"/>
      <c r="AMB324" s="6"/>
      <c r="AMC324" s="6"/>
      <c r="AMD324" s="6"/>
      <c r="AME324" s="6"/>
      <c r="AMF324" s="6"/>
      <c r="AMG324" s="6"/>
      <c r="AMH324" s="6"/>
      <c r="AMI324" s="6"/>
      <c r="AMJ324" s="6"/>
      <c r="AMK324" s="6"/>
      <c r="AML324" s="6"/>
      <c r="AMM324" s="6"/>
      <c r="AMN324" s="6"/>
      <c r="AMO324" s="6"/>
      <c r="AMP324" s="6"/>
    </row>
    <row r="325" spans="1:1030" x14ac:dyDescent="0.2">
      <c r="A325" s="3" t="str">
        <f t="shared" si="2290"/>
        <v>opsd_bovin_3DQB</v>
      </c>
      <c r="B325" s="3" t="s">
        <v>915</v>
      </c>
      <c r="C325" s="3" t="s">
        <v>54</v>
      </c>
      <c r="D325" s="3" t="str">
        <f>IFERROR(MID(VLOOKUP($B325,Seqs!$A:$B,2,0),E325,1),"")</f>
        <v>E</v>
      </c>
      <c r="E325" s="105">
        <v>33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G</v>
      </c>
      <c r="O325" s="3">
        <v>101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G</v>
      </c>
      <c r="AC325" s="9">
        <v>149</v>
      </c>
      <c r="AD325" s="3" t="str">
        <f>IFERROR(MID(VLOOKUP($B325,Seqs!$A:$B,2,0),AE325,1),"")</f>
        <v>V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N</v>
      </c>
      <c r="AK325" s="3">
        <v>199</v>
      </c>
      <c r="AL325" s="3" t="str">
        <f>IFERROR(MID(VLOOKUP($B325,Seqs!$A:$B,2,0),AM325,1),"")</f>
        <v>Q</v>
      </c>
      <c r="AM325" s="3">
        <v>237</v>
      </c>
      <c r="AN325" s="3" t="str">
        <f>IFERROR(MID(VLOOKUP($B325,Seqs!$A:$B,2,0),AO325,1),"")</f>
        <v>A</v>
      </c>
      <c r="AO325" s="3">
        <v>241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G</v>
      </c>
      <c r="AS325" s="3">
        <v>284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322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2291"/>
        <v>1</v>
      </c>
      <c r="BC325" s="23">
        <f>_xlfn.AGGREGATE(9,6,CH325:CS325)-_xlfn.AGGREGATE(9,6,BV325:CG325)+12</f>
        <v>254</v>
      </c>
      <c r="BD325" s="74" t="s">
        <v>23</v>
      </c>
      <c r="BE325" s="3" t="s">
        <v>1287</v>
      </c>
      <c r="BF325" s="118">
        <v>3.2</v>
      </c>
      <c r="BG325" s="49" t="s">
        <v>1373</v>
      </c>
      <c r="BH325" s="49" t="s">
        <v>1373</v>
      </c>
      <c r="BI325" s="1"/>
      <c r="BJ325" s="70" t="s">
        <v>1283</v>
      </c>
      <c r="BK325" s="57" t="s">
        <v>1283</v>
      </c>
      <c r="BL325" s="57" t="s">
        <v>1283</v>
      </c>
      <c r="BM325" s="57" t="s">
        <v>1283</v>
      </c>
      <c r="BN325" s="57" t="s">
        <v>1283</v>
      </c>
      <c r="BO325" s="57" t="s">
        <v>1283</v>
      </c>
      <c r="BP325" s="57" t="s">
        <v>1283</v>
      </c>
      <c r="BQ325" s="57" t="s">
        <v>1283</v>
      </c>
      <c r="BR325" s="57" t="s">
        <v>1283</v>
      </c>
      <c r="BS325" s="57" t="s">
        <v>1283</v>
      </c>
      <c r="BT325" s="57" t="s">
        <v>1283</v>
      </c>
      <c r="BU325" s="57" t="s">
        <v>1283</v>
      </c>
      <c r="BV325" s="70">
        <f>E325</f>
        <v>33</v>
      </c>
      <c r="BW325" s="71">
        <f>I325</f>
        <v>66</v>
      </c>
      <c r="BX325" s="72">
        <f>M325</f>
        <v>70</v>
      </c>
      <c r="BY325" s="71">
        <f>Q325</f>
        <v>102</v>
      </c>
      <c r="BZ325" s="72">
        <f>U325</f>
        <v>106</v>
      </c>
      <c r="CA325" s="71" t="str">
        <f>Y325</f>
        <v>-</v>
      </c>
      <c r="CB325" s="72">
        <f>AC325</f>
        <v>149</v>
      </c>
      <c r="CC325" s="71">
        <f>AG325</f>
        <v>187</v>
      </c>
      <c r="CD325" s="72">
        <f>AK325</f>
        <v>199</v>
      </c>
      <c r="CE325" s="71">
        <f>AO325</f>
        <v>241</v>
      </c>
      <c r="CF325" s="72">
        <f>AS325</f>
        <v>284</v>
      </c>
      <c r="CG325" s="71">
        <f>AW325</f>
        <v>310</v>
      </c>
      <c r="CH325" s="70">
        <f>G325</f>
        <v>65</v>
      </c>
      <c r="CI325" s="71">
        <f>K325</f>
        <v>69</v>
      </c>
      <c r="CJ325" s="72">
        <f>O325</f>
        <v>101</v>
      </c>
      <c r="CK325" s="72">
        <f>S325</f>
        <v>105</v>
      </c>
      <c r="CL325" s="72">
        <f>W325</f>
        <v>141</v>
      </c>
      <c r="CM325" s="72" t="str">
        <f>AA325</f>
        <v>-</v>
      </c>
      <c r="CN325" s="72">
        <f>AE325</f>
        <v>173</v>
      </c>
      <c r="CO325" s="72">
        <f>AI325</f>
        <v>189</v>
      </c>
      <c r="CP325" s="72">
        <f>AM325</f>
        <v>237</v>
      </c>
      <c r="CQ325" s="72">
        <f>AQ325</f>
        <v>278</v>
      </c>
      <c r="CR325" s="72">
        <f>AU325</f>
        <v>309</v>
      </c>
      <c r="CS325" s="72">
        <f>AY325</f>
        <v>322</v>
      </c>
      <c r="CT325" s="23">
        <f>M325-K325</f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2290"/>
        <v>opsd_bovin_3PQR</v>
      </c>
      <c r="B326" s="3" t="s">
        <v>915</v>
      </c>
      <c r="C326" s="3" t="s">
        <v>1028</v>
      </c>
      <c r="D326" s="3" t="str">
        <f>IFERROR(MID(VLOOKUP($B326,Seqs!$A:$B,2,0),E326,1),"")</f>
        <v>E</v>
      </c>
      <c r="E326" s="105">
        <v>33</v>
      </c>
      <c r="F326" s="3" t="str">
        <f>IFERROR(MID(VLOOKUP($B326,Seqs!$A:$B,2,0),G326,1),"")</f>
        <v>H</v>
      </c>
      <c r="G326" s="3">
        <v>65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T</v>
      </c>
      <c r="M326" s="3">
        <v>70</v>
      </c>
      <c r="N326" s="3" t="str">
        <f>IFERROR(MID(VLOOKUP($B326,Seqs!$A:$B,2,0),O326,1),"")</f>
        <v>G</v>
      </c>
      <c r="O326" s="3">
        <v>101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G</v>
      </c>
      <c r="AC326" s="9">
        <v>149</v>
      </c>
      <c r="AD326" s="3" t="str">
        <f>IFERROR(MID(VLOOKUP($B326,Seqs!$A:$B,2,0),AE326,1),"")</f>
        <v>V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237</v>
      </c>
      <c r="AN326" s="3" t="str">
        <f>IFERROR(MID(VLOOKUP($B326,Seqs!$A:$B,2,0),AO326,1),"")</f>
        <v>A</v>
      </c>
      <c r="AO326" s="3">
        <v>241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 t="shared" si="2291"/>
        <v>1</v>
      </c>
      <c r="BC326" s="23">
        <f>_xlfn.AGGREGATE(9,6,CH326:CS326)-_xlfn.AGGREGATE(9,6,BV326:CG326)+12</f>
        <v>254</v>
      </c>
      <c r="BD326" s="4" t="s">
        <v>23</v>
      </c>
      <c r="BE326" s="3" t="s">
        <v>1287</v>
      </c>
      <c r="BF326" s="118">
        <v>2.85</v>
      </c>
      <c r="BG326" s="49" t="s">
        <v>1373</v>
      </c>
      <c r="BH326" s="49" t="s">
        <v>1373</v>
      </c>
      <c r="BI326" s="1"/>
      <c r="BJ326" s="70" t="s">
        <v>1283</v>
      </c>
      <c r="BK326" s="57" t="s">
        <v>1283</v>
      </c>
      <c r="BL326" s="57" t="s">
        <v>1283</v>
      </c>
      <c r="BM326" s="57" t="s">
        <v>1283</v>
      </c>
      <c r="BN326" s="57" t="s">
        <v>1283</v>
      </c>
      <c r="BO326" s="57" t="s">
        <v>1283</v>
      </c>
      <c r="BP326" s="57" t="s">
        <v>1283</v>
      </c>
      <c r="BQ326" s="57" t="s">
        <v>1283</v>
      </c>
      <c r="BR326" s="57" t="s">
        <v>1283</v>
      </c>
      <c r="BS326" s="57" t="s">
        <v>1283</v>
      </c>
      <c r="BT326" s="57" t="s">
        <v>1283</v>
      </c>
      <c r="BU326" s="57" t="s">
        <v>1283</v>
      </c>
      <c r="BV326" s="70">
        <f>E326</f>
        <v>33</v>
      </c>
      <c r="BW326" s="71">
        <f>I326</f>
        <v>66</v>
      </c>
      <c r="BX326" s="72">
        <f>M326</f>
        <v>70</v>
      </c>
      <c r="BY326" s="71">
        <f>Q326</f>
        <v>102</v>
      </c>
      <c r="BZ326" s="72">
        <f>U326</f>
        <v>106</v>
      </c>
      <c r="CA326" s="71" t="str">
        <f>Y326</f>
        <v>-</v>
      </c>
      <c r="CB326" s="72">
        <f>AC326</f>
        <v>149</v>
      </c>
      <c r="CC326" s="71">
        <f>AG326</f>
        <v>187</v>
      </c>
      <c r="CD326" s="72">
        <f>AK326</f>
        <v>199</v>
      </c>
      <c r="CE326" s="71">
        <f>AO326</f>
        <v>241</v>
      </c>
      <c r="CF326" s="72">
        <f>AS326</f>
        <v>284</v>
      </c>
      <c r="CG326" s="71">
        <f>AW326</f>
        <v>310</v>
      </c>
      <c r="CH326" s="70">
        <f>G326</f>
        <v>65</v>
      </c>
      <c r="CI326" s="71">
        <f>K326</f>
        <v>69</v>
      </c>
      <c r="CJ326" s="72">
        <f>O326</f>
        <v>101</v>
      </c>
      <c r="CK326" s="72">
        <f>S326</f>
        <v>105</v>
      </c>
      <c r="CL326" s="72">
        <f>W326</f>
        <v>141</v>
      </c>
      <c r="CM326" s="72" t="str">
        <f>AA326</f>
        <v>-</v>
      </c>
      <c r="CN326" s="72">
        <f>AE326</f>
        <v>173</v>
      </c>
      <c r="CO326" s="72">
        <f>AI326</f>
        <v>189</v>
      </c>
      <c r="CP326" s="72">
        <f>AM326</f>
        <v>237</v>
      </c>
      <c r="CQ326" s="72">
        <f>AQ326</f>
        <v>278</v>
      </c>
      <c r="CR326" s="72">
        <f>AU326</f>
        <v>309</v>
      </c>
      <c r="CS326" s="72">
        <f>AY326</f>
        <v>322</v>
      </c>
      <c r="CT326" s="23">
        <f>M326-K326</f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2290"/>
        <v>opsd_bovin_4A4M</v>
      </c>
      <c r="B327" s="2" t="s">
        <v>915</v>
      </c>
      <c r="C327" s="3" t="s">
        <v>1366</v>
      </c>
      <c r="D327" s="3" t="str">
        <f>IFERROR(MID(VLOOKUP($B327,Seqs!$A:$B,2,0),E327,1),"")</f>
        <v>E</v>
      </c>
      <c r="E327" s="105">
        <v>33</v>
      </c>
      <c r="F327" s="3" t="str">
        <f>IFERROR(MID(VLOOKUP($B327,Seqs!$A:$B,2,0),G327,1),"")</f>
        <v>H</v>
      </c>
      <c r="G327" s="3">
        <v>65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T</v>
      </c>
      <c r="M327" s="3">
        <v>70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G</v>
      </c>
      <c r="AC327" s="9">
        <v>149</v>
      </c>
      <c r="AD327" s="3" t="str">
        <f>IFERROR(MID(VLOOKUP($B327,Seqs!$A:$B,2,0),AE327,1),"")</f>
        <v>V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199</v>
      </c>
      <c r="AL327" s="3" t="str">
        <f>IFERROR(MID(VLOOKUP($B327,Seqs!$A:$B,2,0),AM327,1),"")</f>
        <v>Q</v>
      </c>
      <c r="AM327" s="3">
        <v>237</v>
      </c>
      <c r="AN327" s="3" t="str">
        <f>IFERROR(MID(VLOOKUP($B327,Seqs!$A:$B,2,0),AO327,1),"")</f>
        <v>A</v>
      </c>
      <c r="AO327" s="3">
        <v>241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G</v>
      </c>
      <c r="AS327" s="3">
        <v>284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322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23">
        <f>_xlfn.AGGREGATE(9,6,CH327:CS327)-_xlfn.AGGREGATE(9,6,BV327:CG327)+12</f>
        <v>254</v>
      </c>
      <c r="BD327" s="4" t="s">
        <v>23</v>
      </c>
      <c r="BE327" s="3" t="s">
        <v>1287</v>
      </c>
      <c r="BF327" s="118">
        <v>3.3</v>
      </c>
      <c r="BG327" s="49" t="s">
        <v>1373</v>
      </c>
      <c r="BH327" s="49" t="s">
        <v>1373</v>
      </c>
      <c r="BI327" s="1"/>
      <c r="BJ327" s="70" t="s">
        <v>1283</v>
      </c>
      <c r="BK327" s="57" t="s">
        <v>1283</v>
      </c>
      <c r="BL327" s="57" t="s">
        <v>1283</v>
      </c>
      <c r="BM327" s="57" t="s">
        <v>1283</v>
      </c>
      <c r="BN327" s="57" t="s">
        <v>1283</v>
      </c>
      <c r="BO327" s="57" t="s">
        <v>1283</v>
      </c>
      <c r="BP327" s="57" t="s">
        <v>1283</v>
      </c>
      <c r="BQ327" s="57" t="s">
        <v>1283</v>
      </c>
      <c r="BR327" s="57" t="s">
        <v>1283</v>
      </c>
      <c r="BS327" s="57" t="s">
        <v>1283</v>
      </c>
      <c r="BT327" s="57" t="s">
        <v>1283</v>
      </c>
      <c r="BU327" s="57" t="s">
        <v>1283</v>
      </c>
      <c r="BV327" s="70">
        <f>E327</f>
        <v>33</v>
      </c>
      <c r="BW327" s="71">
        <f>I327</f>
        <v>66</v>
      </c>
      <c r="BX327" s="72">
        <f>M327</f>
        <v>70</v>
      </c>
      <c r="BY327" s="71">
        <f>Q327</f>
        <v>102</v>
      </c>
      <c r="BZ327" s="72">
        <f>U327</f>
        <v>106</v>
      </c>
      <c r="CA327" s="71" t="str">
        <f>Y327</f>
        <v>-</v>
      </c>
      <c r="CB327" s="72">
        <f>AC327</f>
        <v>149</v>
      </c>
      <c r="CC327" s="71">
        <f>AG327</f>
        <v>187</v>
      </c>
      <c r="CD327" s="72">
        <f>AK327</f>
        <v>199</v>
      </c>
      <c r="CE327" s="71">
        <f>AO327</f>
        <v>241</v>
      </c>
      <c r="CF327" s="72">
        <f>AS327</f>
        <v>284</v>
      </c>
      <c r="CG327" s="71">
        <f>AW327</f>
        <v>310</v>
      </c>
      <c r="CH327" s="70">
        <f>G327</f>
        <v>65</v>
      </c>
      <c r="CI327" s="71">
        <f>K327</f>
        <v>69</v>
      </c>
      <c r="CJ327" s="72">
        <f>O327</f>
        <v>101</v>
      </c>
      <c r="CK327" s="72">
        <f>S327</f>
        <v>105</v>
      </c>
      <c r="CL327" s="72">
        <f>W327</f>
        <v>141</v>
      </c>
      <c r="CM327" s="72" t="str">
        <f>AA327</f>
        <v>-</v>
      </c>
      <c r="CN327" s="72">
        <f>AE327</f>
        <v>173</v>
      </c>
      <c r="CO327" s="72">
        <f>AI327</f>
        <v>189</v>
      </c>
      <c r="CP327" s="72">
        <f>AM327</f>
        <v>237</v>
      </c>
      <c r="CQ327" s="72">
        <f>AQ327</f>
        <v>278</v>
      </c>
      <c r="CR327" s="72">
        <f>AU327</f>
        <v>309</v>
      </c>
      <c r="CS327" s="72">
        <f>AY327</f>
        <v>322</v>
      </c>
      <c r="CT327" s="23">
        <f>M327-K327</f>
        <v>1</v>
      </c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  <c r="SC327" s="6"/>
      <c r="SD327" s="6"/>
      <c r="SE327" s="6"/>
      <c r="SF327" s="6"/>
      <c r="SG327" s="6"/>
      <c r="SH327" s="6"/>
      <c r="SI327" s="6"/>
      <c r="SJ327" s="6"/>
      <c r="SK327" s="6"/>
      <c r="SL327" s="6"/>
      <c r="SM327" s="6"/>
      <c r="SN327" s="6"/>
      <c r="SO327" s="6"/>
      <c r="SP327" s="6"/>
      <c r="SQ327" s="6"/>
      <c r="SR327" s="6"/>
      <c r="SS327" s="6"/>
      <c r="ST327" s="6"/>
      <c r="SU327" s="6"/>
      <c r="SV327" s="6"/>
      <c r="SW327" s="6"/>
      <c r="SX327" s="6"/>
      <c r="SY327" s="6"/>
      <c r="SZ327" s="6"/>
      <c r="TA327" s="6"/>
      <c r="TB327" s="6"/>
      <c r="TC327" s="6"/>
      <c r="TD327" s="6"/>
      <c r="TE327" s="6"/>
      <c r="TF327" s="6"/>
      <c r="TG327" s="6"/>
      <c r="TH327" s="6"/>
      <c r="TI327" s="6"/>
      <c r="TJ327" s="6"/>
      <c r="TK327" s="6"/>
      <c r="TL327" s="6"/>
      <c r="TM327" s="6"/>
      <c r="TN327" s="6"/>
      <c r="TO327" s="6"/>
      <c r="TP327" s="6"/>
      <c r="TQ327" s="6"/>
      <c r="TR327" s="6"/>
      <c r="TS327" s="6"/>
      <c r="TT327" s="6"/>
      <c r="TU327" s="6"/>
      <c r="TV327" s="6"/>
      <c r="TW327" s="6"/>
      <c r="TX327" s="6"/>
      <c r="TY327" s="6"/>
      <c r="TZ327" s="6"/>
      <c r="UA327" s="6"/>
      <c r="UB327" s="6"/>
      <c r="UC327" s="6"/>
      <c r="UD327" s="6"/>
      <c r="UE327" s="6"/>
      <c r="UF327" s="6"/>
      <c r="UG327" s="6"/>
      <c r="UH327" s="6"/>
      <c r="UI327" s="6"/>
      <c r="UJ327" s="6"/>
      <c r="UK327" s="6"/>
      <c r="UL327" s="6"/>
      <c r="UM327" s="6"/>
      <c r="UN327" s="6"/>
      <c r="UO327" s="6"/>
      <c r="UP327" s="6"/>
      <c r="UQ327" s="6"/>
      <c r="UR327" s="6"/>
      <c r="US327" s="6"/>
      <c r="UT327" s="6"/>
      <c r="UU327" s="6"/>
      <c r="UV327" s="6"/>
      <c r="UW327" s="6"/>
      <c r="UX327" s="6"/>
      <c r="UY327" s="6"/>
      <c r="UZ327" s="6"/>
      <c r="VA327" s="6"/>
      <c r="VB327" s="6"/>
      <c r="VC327" s="6"/>
      <c r="VD327" s="6"/>
      <c r="VE327" s="6"/>
      <c r="VF327" s="6"/>
      <c r="VG327" s="6"/>
      <c r="VH327" s="6"/>
      <c r="VI327" s="6"/>
      <c r="VJ327" s="6"/>
      <c r="VK327" s="6"/>
      <c r="VL327" s="6"/>
      <c r="VM327" s="6"/>
      <c r="VN327" s="6"/>
      <c r="VO327" s="6"/>
      <c r="VP327" s="6"/>
      <c r="VQ327" s="6"/>
      <c r="VR327" s="6"/>
      <c r="VS327" s="6"/>
      <c r="VT327" s="6"/>
      <c r="VU327" s="6"/>
      <c r="VV327" s="6"/>
      <c r="VW327" s="6"/>
      <c r="VX327" s="6"/>
      <c r="VY327" s="6"/>
      <c r="VZ327" s="6"/>
      <c r="WA327" s="6"/>
      <c r="WB327" s="6"/>
      <c r="WC327" s="6"/>
      <c r="WD327" s="6"/>
      <c r="WE327" s="6"/>
      <c r="WF327" s="6"/>
      <c r="WG327" s="6"/>
      <c r="WH327" s="6"/>
      <c r="WI327" s="6"/>
      <c r="WJ327" s="6"/>
      <c r="WK327" s="6"/>
      <c r="WL327" s="6"/>
      <c r="WM327" s="6"/>
      <c r="WN327" s="6"/>
      <c r="WO327" s="6"/>
      <c r="WP327" s="6"/>
      <c r="WQ327" s="6"/>
      <c r="WR327" s="6"/>
      <c r="WS327" s="6"/>
      <c r="WT327" s="6"/>
      <c r="WU327" s="6"/>
      <c r="WV327" s="6"/>
      <c r="WW327" s="6"/>
      <c r="WX327" s="6"/>
      <c r="WY327" s="6"/>
      <c r="WZ327" s="6"/>
      <c r="XA327" s="6"/>
      <c r="XB327" s="6"/>
      <c r="XC327" s="6"/>
      <c r="XD327" s="6"/>
      <c r="XE327" s="6"/>
      <c r="XF327" s="6"/>
      <c r="XG327" s="6"/>
      <c r="XH327" s="6"/>
      <c r="XI327" s="6"/>
      <c r="XJ327" s="6"/>
      <c r="XK327" s="6"/>
      <c r="XL327" s="6"/>
      <c r="XM327" s="6"/>
      <c r="XN327" s="6"/>
      <c r="XO327" s="6"/>
      <c r="XP327" s="6"/>
      <c r="XQ327" s="6"/>
      <c r="XR327" s="6"/>
      <c r="XS327" s="6"/>
      <c r="XT327" s="6"/>
      <c r="XU327" s="6"/>
      <c r="XV327" s="6"/>
      <c r="XW327" s="6"/>
      <c r="XX327" s="6"/>
      <c r="XY327" s="6"/>
      <c r="XZ327" s="6"/>
      <c r="YA327" s="6"/>
      <c r="YB327" s="6"/>
      <c r="YC327" s="6"/>
      <c r="YD327" s="6"/>
      <c r="YE327" s="6"/>
      <c r="YF327" s="6"/>
      <c r="YG327" s="6"/>
      <c r="YH327" s="6"/>
      <c r="YI327" s="6"/>
      <c r="YJ327" s="6"/>
      <c r="YK327" s="6"/>
      <c r="YL327" s="6"/>
      <c r="YM327" s="6"/>
      <c r="YN327" s="6"/>
      <c r="YO327" s="6"/>
      <c r="YP327" s="6"/>
      <c r="YQ327" s="6"/>
      <c r="YR327" s="6"/>
      <c r="YS327" s="6"/>
      <c r="YT327" s="6"/>
      <c r="YU327" s="6"/>
      <c r="YV327" s="6"/>
      <c r="YW327" s="6"/>
      <c r="YX327" s="6"/>
      <c r="YY327" s="6"/>
      <c r="YZ327" s="6"/>
      <c r="ZA327" s="6"/>
      <c r="ZB327" s="6"/>
      <c r="ZC327" s="6"/>
      <c r="ZD327" s="6"/>
      <c r="ZE327" s="6"/>
      <c r="ZF327" s="6"/>
      <c r="ZG327" s="6"/>
      <c r="ZH327" s="6"/>
      <c r="ZI327" s="6"/>
      <c r="ZJ327" s="6"/>
      <c r="ZK327" s="6"/>
      <c r="ZL327" s="6"/>
      <c r="ZM327" s="6"/>
      <c r="ZN327" s="6"/>
      <c r="ZO327" s="6"/>
      <c r="ZP327" s="6"/>
      <c r="ZQ327" s="6"/>
      <c r="ZR327" s="6"/>
      <c r="ZS327" s="6"/>
      <c r="ZT327" s="6"/>
      <c r="ZU327" s="6"/>
      <c r="ZV327" s="6"/>
      <c r="ZW327" s="6"/>
      <c r="ZX327" s="6"/>
      <c r="ZY327" s="6"/>
      <c r="ZZ327" s="6"/>
      <c r="AAA327" s="6"/>
      <c r="AAB327" s="6"/>
      <c r="AAC327" s="6"/>
      <c r="AAD327" s="6"/>
      <c r="AAE327" s="6"/>
      <c r="AAF327" s="6"/>
      <c r="AAG327" s="6"/>
      <c r="AAH327" s="6"/>
      <c r="AAI327" s="6"/>
      <c r="AAJ327" s="6"/>
      <c r="AAK327" s="6"/>
      <c r="AAL327" s="6"/>
      <c r="AAM327" s="6"/>
      <c r="AAN327" s="6"/>
      <c r="AAO327" s="6"/>
      <c r="AAP327" s="6"/>
      <c r="AAQ327" s="6"/>
      <c r="AAR327" s="6"/>
      <c r="AAS327" s="6"/>
      <c r="AAT327" s="6"/>
      <c r="AAU327" s="6"/>
      <c r="AAV327" s="6"/>
      <c r="AAW327" s="6"/>
      <c r="AAX327" s="6"/>
      <c r="AAY327" s="6"/>
      <c r="AAZ327" s="6"/>
      <c r="ABA327" s="6"/>
      <c r="ABB327" s="6"/>
      <c r="ABC327" s="6"/>
      <c r="ABD327" s="6"/>
      <c r="ABE327" s="6"/>
      <c r="ABF327" s="6"/>
      <c r="ABG327" s="6"/>
      <c r="ABH327" s="6"/>
      <c r="ABI327" s="6"/>
      <c r="ABJ327" s="6"/>
      <c r="ABK327" s="6"/>
      <c r="ABL327" s="6"/>
      <c r="ABM327" s="6"/>
      <c r="ABN327" s="6"/>
      <c r="ABO327" s="6"/>
      <c r="ABP327" s="6"/>
      <c r="ABQ327" s="6"/>
      <c r="ABR327" s="6"/>
      <c r="ABS327" s="6"/>
      <c r="ABT327" s="6"/>
      <c r="ABU327" s="6"/>
      <c r="ABV327" s="6"/>
      <c r="ABW327" s="6"/>
      <c r="ABX327" s="6"/>
      <c r="ABY327" s="6"/>
      <c r="ABZ327" s="6"/>
      <c r="ACA327" s="6"/>
      <c r="ACB327" s="6"/>
      <c r="ACC327" s="6"/>
      <c r="ACD327" s="6"/>
      <c r="ACE327" s="6"/>
      <c r="ACF327" s="6"/>
      <c r="ACG327" s="6"/>
      <c r="ACH327" s="6"/>
      <c r="ACI327" s="6"/>
      <c r="ACJ327" s="6"/>
      <c r="ACK327" s="6"/>
      <c r="ACL327" s="6"/>
      <c r="ACM327" s="6"/>
      <c r="ACN327" s="6"/>
      <c r="ACO327" s="6"/>
      <c r="ACP327" s="6"/>
      <c r="ACQ327" s="6"/>
      <c r="ACR327" s="6"/>
      <c r="ACS327" s="6"/>
      <c r="ACT327" s="6"/>
      <c r="ACU327" s="6"/>
      <c r="ACV327" s="6"/>
      <c r="ACW327" s="6"/>
      <c r="ACX327" s="6"/>
      <c r="ACY327" s="6"/>
      <c r="ACZ327" s="6"/>
      <c r="ADA327" s="6"/>
      <c r="ADB327" s="6"/>
      <c r="ADC327" s="6"/>
      <c r="ADD327" s="6"/>
      <c r="ADE327" s="6"/>
      <c r="ADF327" s="6"/>
      <c r="ADG327" s="6"/>
      <c r="ADH327" s="6"/>
      <c r="ADI327" s="6"/>
      <c r="ADJ327" s="6"/>
      <c r="ADK327" s="6"/>
      <c r="ADL327" s="6"/>
      <c r="ADM327" s="6"/>
      <c r="ADN327" s="6"/>
      <c r="ADO327" s="6"/>
      <c r="ADP327" s="6"/>
      <c r="ADQ327" s="6"/>
      <c r="ADR327" s="6"/>
      <c r="ADS327" s="6"/>
      <c r="ADT327" s="6"/>
      <c r="ADU327" s="6"/>
      <c r="ADV327" s="6"/>
      <c r="ADW327" s="6"/>
      <c r="ADX327" s="6"/>
      <c r="ADY327" s="6"/>
      <c r="ADZ327" s="6"/>
      <c r="AEA327" s="6"/>
      <c r="AEB327" s="6"/>
      <c r="AEC327" s="6"/>
      <c r="AED327" s="6"/>
      <c r="AEE327" s="6"/>
      <c r="AEF327" s="6"/>
      <c r="AEG327" s="6"/>
      <c r="AEH327" s="6"/>
      <c r="AEI327" s="6"/>
      <c r="AEJ327" s="6"/>
      <c r="AEK327" s="6"/>
      <c r="AEL327" s="6"/>
      <c r="AEM327" s="6"/>
      <c r="AEN327" s="6"/>
      <c r="AEO327" s="6"/>
      <c r="AEP327" s="6"/>
      <c r="AEQ327" s="6"/>
      <c r="AER327" s="6"/>
      <c r="AES327" s="6"/>
      <c r="AET327" s="6"/>
      <c r="AEU327" s="6"/>
      <c r="AEV327" s="6"/>
      <c r="AEW327" s="6"/>
      <c r="AEX327" s="6"/>
      <c r="AEY327" s="6"/>
      <c r="AEZ327" s="6"/>
      <c r="AFA327" s="6"/>
      <c r="AFB327" s="6"/>
      <c r="AFC327" s="6"/>
      <c r="AFD327" s="6"/>
      <c r="AFE327" s="6"/>
      <c r="AFF327" s="6"/>
      <c r="AFG327" s="6"/>
      <c r="AFH327" s="6"/>
      <c r="AFI327" s="6"/>
      <c r="AFJ327" s="6"/>
      <c r="AFK327" s="6"/>
      <c r="AFL327" s="6"/>
      <c r="AFM327" s="6"/>
      <c r="AFN327" s="6"/>
      <c r="AFO327" s="6"/>
      <c r="AFP327" s="6"/>
      <c r="AFQ327" s="6"/>
      <c r="AFR327" s="6"/>
      <c r="AFS327" s="6"/>
      <c r="AFT327" s="6"/>
      <c r="AFU327" s="6"/>
      <c r="AFV327" s="6"/>
      <c r="AFW327" s="6"/>
      <c r="AFX327" s="6"/>
      <c r="AFY327" s="6"/>
      <c r="AFZ327" s="6"/>
      <c r="AGA327" s="6"/>
      <c r="AGB327" s="6"/>
      <c r="AGC327" s="6"/>
      <c r="AGD327" s="6"/>
      <c r="AGE327" s="6"/>
      <c r="AGF327" s="6"/>
      <c r="AGG327" s="6"/>
      <c r="AGH327" s="6"/>
      <c r="AGI327" s="6"/>
      <c r="AGJ327" s="6"/>
      <c r="AGK327" s="6"/>
      <c r="AGL327" s="6"/>
      <c r="AGM327" s="6"/>
      <c r="AGN327" s="6"/>
      <c r="AGO327" s="6"/>
      <c r="AGP327" s="6"/>
      <c r="AGQ327" s="6"/>
      <c r="AGR327" s="6"/>
      <c r="AGS327" s="6"/>
      <c r="AGT327" s="6"/>
      <c r="AGU327" s="6"/>
      <c r="AGV327" s="6"/>
      <c r="AGW327" s="6"/>
      <c r="AGX327" s="6"/>
      <c r="AGY327" s="6"/>
      <c r="AGZ327" s="6"/>
      <c r="AHA327" s="6"/>
      <c r="AHB327" s="6"/>
      <c r="AHC327" s="6"/>
      <c r="AHD327" s="6"/>
      <c r="AHE327" s="6"/>
      <c r="AHF327" s="6"/>
      <c r="AHG327" s="6"/>
      <c r="AHH327" s="6"/>
      <c r="AHI327" s="6"/>
      <c r="AHJ327" s="6"/>
      <c r="AHK327" s="6"/>
      <c r="AHL327" s="6"/>
      <c r="AHM327" s="6"/>
      <c r="AHN327" s="6"/>
      <c r="AHO327" s="6"/>
      <c r="AHP327" s="6"/>
      <c r="AHQ327" s="6"/>
      <c r="AHR327" s="6"/>
      <c r="AHS327" s="6"/>
      <c r="AHT327" s="6"/>
      <c r="AHU327" s="6"/>
      <c r="AHV327" s="6"/>
      <c r="AHW327" s="6"/>
      <c r="AHX327" s="6"/>
      <c r="AHY327" s="6"/>
      <c r="AHZ327" s="6"/>
      <c r="AIA327" s="6"/>
      <c r="AIB327" s="6"/>
      <c r="AIC327" s="6"/>
      <c r="AID327" s="6"/>
      <c r="AIE327" s="6"/>
      <c r="AIF327" s="6"/>
      <c r="AIG327" s="6"/>
      <c r="AIH327" s="6"/>
      <c r="AII327" s="6"/>
      <c r="AIJ327" s="6"/>
      <c r="AIK327" s="6"/>
      <c r="AIL327" s="6"/>
      <c r="AIM327" s="6"/>
      <c r="AIN327" s="6"/>
      <c r="AIO327" s="6"/>
      <c r="AIP327" s="6"/>
      <c r="AIQ327" s="6"/>
      <c r="AIR327" s="6"/>
      <c r="AIS327" s="6"/>
      <c r="AIT327" s="6"/>
      <c r="AIU327" s="6"/>
      <c r="AIV327" s="6"/>
      <c r="AIW327" s="6"/>
      <c r="AIX327" s="6"/>
      <c r="AIY327" s="6"/>
      <c r="AIZ327" s="6"/>
      <c r="AJA327" s="6"/>
      <c r="AJB327" s="6"/>
      <c r="AJC327" s="6"/>
      <c r="AJD327" s="6"/>
      <c r="AJE327" s="6"/>
      <c r="AJF327" s="6"/>
      <c r="AJG327" s="6"/>
      <c r="AJH327" s="6"/>
      <c r="AJI327" s="6"/>
      <c r="AJJ327" s="6"/>
      <c r="AJK327" s="6"/>
      <c r="AJL327" s="6"/>
      <c r="AJM327" s="6"/>
      <c r="AJN327" s="6"/>
      <c r="AJO327" s="6"/>
      <c r="AJP327" s="6"/>
      <c r="AJQ327" s="6"/>
      <c r="AJR327" s="6"/>
      <c r="AJS327" s="6"/>
      <c r="AJT327" s="6"/>
      <c r="AJU327" s="6"/>
      <c r="AJV327" s="6"/>
      <c r="AJW327" s="6"/>
      <c r="AJX327" s="6"/>
      <c r="AJY327" s="6"/>
      <c r="AJZ327" s="6"/>
      <c r="AKA327" s="6"/>
      <c r="AKB327" s="6"/>
      <c r="AKC327" s="6"/>
      <c r="AKD327" s="6"/>
      <c r="AKE327" s="6"/>
      <c r="AKF327" s="6"/>
      <c r="AKG327" s="6"/>
      <c r="AKH327" s="6"/>
      <c r="AKI327" s="6"/>
      <c r="AKJ327" s="6"/>
      <c r="AKK327" s="6"/>
      <c r="AKL327" s="6"/>
      <c r="AKM327" s="6"/>
      <c r="AKN327" s="6"/>
      <c r="AKO327" s="6"/>
      <c r="AKP327" s="6"/>
      <c r="AKQ327" s="6"/>
      <c r="AKR327" s="6"/>
      <c r="AKS327" s="6"/>
      <c r="AKT327" s="6"/>
      <c r="AKU327" s="6"/>
      <c r="AKV327" s="6"/>
      <c r="AKW327" s="6"/>
      <c r="AKX327" s="6"/>
      <c r="AKY327" s="6"/>
      <c r="AKZ327" s="6"/>
      <c r="ALA327" s="6"/>
      <c r="ALB327" s="6"/>
      <c r="ALC327" s="6"/>
      <c r="ALD327" s="6"/>
      <c r="ALE327" s="6"/>
      <c r="ALF327" s="6"/>
      <c r="ALG327" s="6"/>
      <c r="ALH327" s="6"/>
      <c r="ALI327" s="6"/>
      <c r="ALJ327" s="6"/>
      <c r="ALK327" s="6"/>
      <c r="ALL327" s="6"/>
      <c r="ALM327" s="6"/>
      <c r="ALN327" s="6"/>
      <c r="ALO327" s="6"/>
      <c r="ALP327" s="6"/>
      <c r="ALQ327" s="6"/>
      <c r="ALR327" s="6"/>
      <c r="ALS327" s="6"/>
      <c r="ALT327" s="6"/>
      <c r="ALU327" s="6"/>
      <c r="ALV327" s="6"/>
      <c r="ALW327" s="6"/>
      <c r="ALX327" s="6"/>
      <c r="ALY327" s="6"/>
      <c r="ALZ327" s="6"/>
      <c r="AMA327" s="6"/>
      <c r="AMB327" s="6"/>
      <c r="AMC327" s="6"/>
      <c r="AMD327" s="6"/>
      <c r="AME327" s="6"/>
      <c r="AMF327" s="6"/>
      <c r="AMG327" s="6"/>
      <c r="AMH327" s="6"/>
      <c r="AMI327" s="6"/>
      <c r="AMJ327" s="6"/>
      <c r="AMK327" s="6"/>
      <c r="AML327" s="6"/>
      <c r="AMM327" s="6"/>
      <c r="AMN327" s="6"/>
      <c r="AMO327" s="6"/>
      <c r="AMP327" s="6"/>
    </row>
    <row r="328" spans="1:1030" x14ac:dyDescent="0.2">
      <c r="A328" s="3" t="str">
        <f t="shared" si="2290"/>
        <v>opsd_bovin_4J4Q</v>
      </c>
      <c r="B328" s="3" t="s">
        <v>915</v>
      </c>
      <c r="C328" s="3" t="s">
        <v>1039</v>
      </c>
      <c r="D328" s="3" t="str">
        <f>IFERROR(MID(VLOOKUP($B328,Seqs!$A:$B,2,0),E328,1),"")</f>
        <v>E</v>
      </c>
      <c r="E328" s="105">
        <v>33</v>
      </c>
      <c r="F328" s="3" t="str">
        <f>IFERROR(MID(VLOOKUP($B328,Seqs!$A:$B,2,0),G328,1),"")</f>
        <v>H</v>
      </c>
      <c r="G328" s="3">
        <v>65</v>
      </c>
      <c r="H328" s="3" t="str">
        <f>IFERROR(MID(VLOOKUP($B328,Seqs!$A:$B,2,0),I328,1),"")</f>
        <v>K</v>
      </c>
      <c r="I328" s="23">
        <v>66</v>
      </c>
      <c r="J328" s="3" t="str">
        <f>IFERROR(MID(VLOOKUP($B328,Seqs!$A:$B,2,0),K328,1),"")</f>
        <v>R</v>
      </c>
      <c r="K328" s="23">
        <v>69</v>
      </c>
      <c r="L328" s="3" t="str">
        <f>IFERROR(MID(VLOOKUP($B328,Seqs!$A:$B,2,0),M328,1),"")</f>
        <v>T</v>
      </c>
      <c r="M328" s="3">
        <v>70</v>
      </c>
      <c r="N328" s="3" t="str">
        <f>IFERROR(MID(VLOOKUP($B328,Seqs!$A:$B,2,0),O328,1),"")</f>
        <v>G</v>
      </c>
      <c r="O328" s="3">
        <v>101</v>
      </c>
      <c r="P328" s="3" t="str">
        <f>IFERROR(MID(VLOOKUP($B328,Seqs!$A:$B,2,0),Q328,1),"")</f>
        <v>Y</v>
      </c>
      <c r="Q328" s="3">
        <v>102</v>
      </c>
      <c r="R328" s="3" t="str">
        <f>IFERROR(MID(VLOOKUP($B328,Seqs!$A:$B,2,0),S328,1),"")</f>
        <v>F</v>
      </c>
      <c r="S328" s="3">
        <v>105</v>
      </c>
      <c r="T328" s="3" t="str">
        <f>IFERROR(MID(VLOOKUP($B328,Seqs!$A:$B,2,0),U328,1),"")</f>
        <v>G</v>
      </c>
      <c r="U328" s="3">
        <v>106</v>
      </c>
      <c r="V328" s="3" t="str">
        <f>IFERROR(MID(VLOOKUP($B328,Seqs!$A:$B,2,0),W328,1),"")</f>
        <v>K</v>
      </c>
      <c r="W328" s="3">
        <v>141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G</v>
      </c>
      <c r="AC328" s="9">
        <v>149</v>
      </c>
      <c r="AD328" s="3" t="str">
        <f>IFERROR(MID(VLOOKUP($B328,Seqs!$A:$B,2,0),AE328,1),"")</f>
        <v>V</v>
      </c>
      <c r="AE328" s="3">
        <v>173</v>
      </c>
      <c r="AF328" s="3" t="str">
        <f>IFERROR(MID(VLOOKUP($B328,Seqs!$A:$B,2,0),AG328,1),"")</f>
        <v>C</v>
      </c>
      <c r="AG328" s="3">
        <v>187</v>
      </c>
      <c r="AH328" s="3" t="str">
        <f>IFERROR(MID(VLOOKUP($B328,Seqs!$A:$B,2,0),AI328,1),"")</f>
        <v>I</v>
      </c>
      <c r="AI328" s="3">
        <v>189</v>
      </c>
      <c r="AJ328" s="3" t="str">
        <f>IFERROR(MID(VLOOKUP($B328,Seqs!$A:$B,2,0),AK328,1),"")</f>
        <v>N</v>
      </c>
      <c r="AK328" s="3">
        <v>199</v>
      </c>
      <c r="AL328" s="3" t="str">
        <f>IFERROR(MID(VLOOKUP($B328,Seqs!$A:$B,2,0),AM328,1),"")</f>
        <v>Q</v>
      </c>
      <c r="AM328" s="3">
        <v>237</v>
      </c>
      <c r="AN328" s="3" t="str">
        <f>IFERROR(MID(VLOOKUP($B328,Seqs!$A:$B,2,0),AO328,1),"")</f>
        <v>A</v>
      </c>
      <c r="AO328" s="3">
        <v>241</v>
      </c>
      <c r="AP328" s="3" t="str">
        <f>IFERROR(MID(VLOOKUP($B328,Seqs!$A:$B,2,0),AQ328,1),"")</f>
        <v>H</v>
      </c>
      <c r="AQ328" s="3">
        <v>278</v>
      </c>
      <c r="AR328" s="3" t="str">
        <f>IFERROR(MID(VLOOKUP($B328,Seqs!$A:$B,2,0),AS328,1),"")</f>
        <v>G</v>
      </c>
      <c r="AS328" s="3">
        <v>284</v>
      </c>
      <c r="AT328" s="3" t="str">
        <f>IFERROR(MID(VLOOKUP($B328,Seqs!$A:$B,2,0),AU328,1),"")</f>
        <v>M</v>
      </c>
      <c r="AU328" s="3">
        <v>309</v>
      </c>
      <c r="AV328" s="3" t="str">
        <f>IFERROR(MID(VLOOKUP($B328,Seqs!$A:$B,2,0),AW328,1),"")</f>
        <v>N</v>
      </c>
      <c r="AW328" s="3">
        <v>310</v>
      </c>
      <c r="AX328" s="3" t="str">
        <f>IFERROR(MID(VLOOKUP($B328,Seqs!$A:$B,2,0),AY328,1),"")</f>
        <v>C</v>
      </c>
      <c r="AY328" s="3">
        <v>322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2291"/>
        <v>1</v>
      </c>
      <c r="BC328" s="23">
        <f t="shared" ref="BC328:BC417" si="2934">_xlfn.AGGREGATE(9,6,CH328:CS328)-_xlfn.AGGREGATE(9,6,BV328:CG328)+12</f>
        <v>254</v>
      </c>
      <c r="BD328" s="4" t="s">
        <v>23</v>
      </c>
      <c r="BE328" s="3" t="s">
        <v>1287</v>
      </c>
      <c r="BF328" s="118">
        <v>2.65</v>
      </c>
      <c r="BG328" s="49" t="s">
        <v>1373</v>
      </c>
      <c r="BH328" s="49" t="s">
        <v>1373</v>
      </c>
      <c r="BI328" s="1"/>
      <c r="BJ328" s="70" t="s">
        <v>1283</v>
      </c>
      <c r="BK328" s="57" t="s">
        <v>1283</v>
      </c>
      <c r="BL328" s="57" t="s">
        <v>1283</v>
      </c>
      <c r="BM328" s="57" t="s">
        <v>1283</v>
      </c>
      <c r="BN328" s="57" t="s">
        <v>1283</v>
      </c>
      <c r="BO328" s="57" t="s">
        <v>1283</v>
      </c>
      <c r="BP328" s="57" t="s">
        <v>1283</v>
      </c>
      <c r="BQ328" s="57" t="s">
        <v>1283</v>
      </c>
      <c r="BR328" s="57" t="s">
        <v>1283</v>
      </c>
      <c r="BS328" s="57" t="s">
        <v>1283</v>
      </c>
      <c r="BT328" s="57" t="s">
        <v>1283</v>
      </c>
      <c r="BU328" s="57" t="s">
        <v>1283</v>
      </c>
      <c r="BV328" s="70">
        <f t="shared" ref="BV328:BV417" si="2935">E328</f>
        <v>33</v>
      </c>
      <c r="BW328" s="71">
        <f t="shared" ref="BW328:BW417" si="2936">I328</f>
        <v>66</v>
      </c>
      <c r="BX328" s="72">
        <f t="shared" ref="BX328:BX417" si="2937">M328</f>
        <v>70</v>
      </c>
      <c r="BY328" s="71">
        <f t="shared" ref="BY328:BY417" si="2938">Q328</f>
        <v>102</v>
      </c>
      <c r="BZ328" s="72">
        <f t="shared" ref="BZ328:BZ417" si="2939">U328</f>
        <v>106</v>
      </c>
      <c r="CA328" s="71" t="str">
        <f t="shared" ref="CA328:CA417" si="2940">Y328</f>
        <v>-</v>
      </c>
      <c r="CB328" s="72">
        <f t="shared" ref="CB328:CB417" si="2941">AC328</f>
        <v>149</v>
      </c>
      <c r="CC328" s="71">
        <f t="shared" ref="CC328:CC417" si="2942">AG328</f>
        <v>187</v>
      </c>
      <c r="CD328" s="72">
        <f t="shared" ref="CD328:CD417" si="2943">AK328</f>
        <v>199</v>
      </c>
      <c r="CE328" s="71">
        <f t="shared" ref="CE328:CE417" si="2944">AO328</f>
        <v>241</v>
      </c>
      <c r="CF328" s="72">
        <f t="shared" ref="CF328:CF417" si="2945">AS328</f>
        <v>284</v>
      </c>
      <c r="CG328" s="71">
        <f t="shared" ref="CG328:CG417" si="2946">AW328</f>
        <v>310</v>
      </c>
      <c r="CH328" s="70">
        <f t="shared" ref="CH328:CH417" si="2947">G328</f>
        <v>65</v>
      </c>
      <c r="CI328" s="71">
        <f t="shared" ref="CI328:CI417" si="2948">K328</f>
        <v>69</v>
      </c>
      <c r="CJ328" s="72">
        <f t="shared" ref="CJ328:CJ417" si="2949">O328</f>
        <v>101</v>
      </c>
      <c r="CK328" s="72">
        <f t="shared" ref="CK328:CK417" si="2950">S328</f>
        <v>105</v>
      </c>
      <c r="CL328" s="72">
        <f t="shared" ref="CL328:CL417" si="2951">W328</f>
        <v>141</v>
      </c>
      <c r="CM328" s="72" t="str">
        <f t="shared" ref="CM328:CM417" si="2952">AA328</f>
        <v>-</v>
      </c>
      <c r="CN328" s="72">
        <f t="shared" ref="CN328:CN417" si="2953">AE328</f>
        <v>173</v>
      </c>
      <c r="CO328" s="72">
        <f t="shared" ref="CO328:CO417" si="2954">AI328</f>
        <v>189</v>
      </c>
      <c r="CP328" s="72">
        <f t="shared" ref="CP328:CP417" si="2955">AM328</f>
        <v>237</v>
      </c>
      <c r="CQ328" s="72">
        <f t="shared" ref="CQ328:CQ417" si="2956">AQ328</f>
        <v>278</v>
      </c>
      <c r="CR328" s="72">
        <f t="shared" ref="CR328:CR417" si="2957">AU328</f>
        <v>309</v>
      </c>
      <c r="CS328" s="72">
        <f t="shared" ref="CS328:CS417" si="2958">AY328</f>
        <v>322</v>
      </c>
      <c r="CT328" s="23">
        <f t="shared" ref="CT328:CT417" si="2959">M328-K328</f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2290"/>
        <v>opsd_bovin_5DYS</v>
      </c>
      <c r="B329" s="3" t="s">
        <v>915</v>
      </c>
      <c r="C329" s="3" t="s">
        <v>1353</v>
      </c>
      <c r="D329" s="3" t="str">
        <f>IFERROR(MID(VLOOKUP($B329,Seqs!$A:$B,2,0),E329,1),"")</f>
        <v>E</v>
      </c>
      <c r="E329" s="105">
        <v>33</v>
      </c>
      <c r="F329" s="3" t="str">
        <f>IFERROR(MID(VLOOKUP($B329,Seqs!$A:$B,2,0),G329,1),"")</f>
        <v>H</v>
      </c>
      <c r="G329" s="3">
        <v>65</v>
      </c>
      <c r="H329" s="3" t="str">
        <f>IFERROR(MID(VLOOKUP($B329,Seqs!$A:$B,2,0),I329,1),"")</f>
        <v>K</v>
      </c>
      <c r="I329" s="23">
        <v>66</v>
      </c>
      <c r="J329" s="3" t="str">
        <f>IFERROR(MID(VLOOKUP($B329,Seqs!$A:$B,2,0),K329,1),"")</f>
        <v>R</v>
      </c>
      <c r="K329" s="23">
        <v>69</v>
      </c>
      <c r="L329" s="3" t="str">
        <f>IFERROR(MID(VLOOKUP($B329,Seqs!$A:$B,2,0),M329,1),"")</f>
        <v>T</v>
      </c>
      <c r="M329" s="3">
        <v>70</v>
      </c>
      <c r="N329" s="3" t="str">
        <f>IFERROR(MID(VLOOKUP($B329,Seqs!$A:$B,2,0),O329,1),"")</f>
        <v>G</v>
      </c>
      <c r="O329" s="3">
        <v>101</v>
      </c>
      <c r="P329" s="3" t="str">
        <f>IFERROR(MID(VLOOKUP($B329,Seqs!$A:$B,2,0),Q329,1),"")</f>
        <v>Y</v>
      </c>
      <c r="Q329" s="3">
        <v>102</v>
      </c>
      <c r="R329" s="3" t="str">
        <f>IFERROR(MID(VLOOKUP($B329,Seqs!$A:$B,2,0),S329,1),"")</f>
        <v>F</v>
      </c>
      <c r="S329" s="3">
        <v>105</v>
      </c>
      <c r="T329" s="3" t="str">
        <f>IFERROR(MID(VLOOKUP($B329,Seqs!$A:$B,2,0),U329,1),"")</f>
        <v>G</v>
      </c>
      <c r="U329" s="3">
        <v>106</v>
      </c>
      <c r="V329" s="3" t="str">
        <f>IFERROR(MID(VLOOKUP($B329,Seqs!$A:$B,2,0),W329,1),"")</f>
        <v>K</v>
      </c>
      <c r="W329" s="3">
        <v>141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G</v>
      </c>
      <c r="AC329" s="9">
        <v>149</v>
      </c>
      <c r="AD329" s="3" t="str">
        <f>IFERROR(MID(VLOOKUP($B329,Seqs!$A:$B,2,0),AE329,1),"")</f>
        <v>V</v>
      </c>
      <c r="AE329" s="3">
        <v>173</v>
      </c>
      <c r="AF329" s="3" t="str">
        <f>IFERROR(MID(VLOOKUP($B329,Seqs!$A:$B,2,0),AG329,1),"")</f>
        <v>C</v>
      </c>
      <c r="AG329" s="3">
        <v>187</v>
      </c>
      <c r="AH329" s="3" t="str">
        <f>IFERROR(MID(VLOOKUP($B329,Seqs!$A:$B,2,0),AI329,1),"")</f>
        <v>I</v>
      </c>
      <c r="AI329" s="3">
        <v>189</v>
      </c>
      <c r="AJ329" s="3" t="str">
        <f>IFERROR(MID(VLOOKUP($B329,Seqs!$A:$B,2,0),AK329,1),"")</f>
        <v>N</v>
      </c>
      <c r="AK329" s="3">
        <v>199</v>
      </c>
      <c r="AL329" s="3" t="str">
        <f>IFERROR(MID(VLOOKUP($B329,Seqs!$A:$B,2,0),AM329,1),"")</f>
        <v>Q</v>
      </c>
      <c r="AM329" s="3">
        <v>237</v>
      </c>
      <c r="AN329" s="3" t="str">
        <f>IFERROR(MID(VLOOKUP($B329,Seqs!$A:$B,2,0),AO329,1),"")</f>
        <v>A</v>
      </c>
      <c r="AO329" s="3">
        <v>241</v>
      </c>
      <c r="AP329" s="3" t="str">
        <f>IFERROR(MID(VLOOKUP($B329,Seqs!$A:$B,2,0),AQ329,1),"")</f>
        <v>H</v>
      </c>
      <c r="AQ329" s="3">
        <v>278</v>
      </c>
      <c r="AR329" s="3" t="str">
        <f>IFERROR(MID(VLOOKUP($B329,Seqs!$A:$B,2,0),AS329,1),"")</f>
        <v>G</v>
      </c>
      <c r="AS329" s="3">
        <v>284</v>
      </c>
      <c r="AT329" s="3" t="str">
        <f>IFERROR(MID(VLOOKUP($B329,Seqs!$A:$B,2,0),AU329,1),"")</f>
        <v>M</v>
      </c>
      <c r="AU329" s="3">
        <v>309</v>
      </c>
      <c r="AV329" s="3" t="str">
        <f>IFERROR(MID(VLOOKUP($B329,Seqs!$A:$B,2,0),AW329,1),"")</f>
        <v>N</v>
      </c>
      <c r="AW329" s="3">
        <v>310</v>
      </c>
      <c r="AX329" s="3" t="str">
        <f>IFERROR(MID(VLOOKUP($B329,Seqs!$A:$B,2,0),AY329,1),"")</f>
        <v>C</v>
      </c>
      <c r="AY329" s="3">
        <v>322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si="2291"/>
        <v>1</v>
      </c>
      <c r="BC329" s="23">
        <f t="shared" si="2934"/>
        <v>254</v>
      </c>
      <c r="BD329" s="5" t="s">
        <v>23</v>
      </c>
      <c r="BE329" s="3" t="s">
        <v>1287</v>
      </c>
      <c r="BF329" s="118">
        <v>2.2999999999999998</v>
      </c>
      <c r="BG329" s="49" t="s">
        <v>1373</v>
      </c>
      <c r="BH329" s="49" t="s">
        <v>1373</v>
      </c>
      <c r="BI329" s="1"/>
      <c r="BJ329" s="70" t="s">
        <v>1283</v>
      </c>
      <c r="BK329" s="57" t="s">
        <v>1283</v>
      </c>
      <c r="BL329" s="57" t="s">
        <v>1283</v>
      </c>
      <c r="BM329" s="57" t="s">
        <v>1283</v>
      </c>
      <c r="BN329" s="57" t="s">
        <v>1283</v>
      </c>
      <c r="BO329" s="57" t="s">
        <v>1283</v>
      </c>
      <c r="BP329" s="57" t="s">
        <v>1283</v>
      </c>
      <c r="BQ329" s="57" t="s">
        <v>1283</v>
      </c>
      <c r="BR329" s="57" t="s">
        <v>1283</v>
      </c>
      <c r="BS329" s="57" t="s">
        <v>1283</v>
      </c>
      <c r="BT329" s="57" t="s">
        <v>1283</v>
      </c>
      <c r="BU329" s="57" t="s">
        <v>1283</v>
      </c>
      <c r="BV329" s="70">
        <f t="shared" si="2935"/>
        <v>33</v>
      </c>
      <c r="BW329" s="71">
        <f t="shared" si="2936"/>
        <v>66</v>
      </c>
      <c r="BX329" s="72">
        <f t="shared" si="2937"/>
        <v>70</v>
      </c>
      <c r="BY329" s="71">
        <f t="shared" si="2938"/>
        <v>102</v>
      </c>
      <c r="BZ329" s="72">
        <f t="shared" si="2939"/>
        <v>106</v>
      </c>
      <c r="CA329" s="71" t="str">
        <f t="shared" si="2940"/>
        <v>-</v>
      </c>
      <c r="CB329" s="72">
        <f t="shared" si="2941"/>
        <v>149</v>
      </c>
      <c r="CC329" s="71">
        <f t="shared" si="2942"/>
        <v>187</v>
      </c>
      <c r="CD329" s="72">
        <f t="shared" si="2943"/>
        <v>199</v>
      </c>
      <c r="CE329" s="71">
        <f t="shared" si="2944"/>
        <v>241</v>
      </c>
      <c r="CF329" s="72">
        <f t="shared" si="2945"/>
        <v>284</v>
      </c>
      <c r="CG329" s="71">
        <f t="shared" si="2946"/>
        <v>310</v>
      </c>
      <c r="CH329" s="70">
        <f t="shared" si="2947"/>
        <v>65</v>
      </c>
      <c r="CI329" s="71">
        <f t="shared" si="2948"/>
        <v>69</v>
      </c>
      <c r="CJ329" s="72">
        <f t="shared" si="2949"/>
        <v>101</v>
      </c>
      <c r="CK329" s="72">
        <f t="shared" si="2950"/>
        <v>105</v>
      </c>
      <c r="CL329" s="72">
        <f t="shared" si="2951"/>
        <v>141</v>
      </c>
      <c r="CM329" s="72" t="str">
        <f t="shared" si="2952"/>
        <v>-</v>
      </c>
      <c r="CN329" s="72">
        <f t="shared" si="2953"/>
        <v>173</v>
      </c>
      <c r="CO329" s="72">
        <f t="shared" si="2954"/>
        <v>189</v>
      </c>
      <c r="CP329" s="72">
        <f t="shared" si="2955"/>
        <v>237</v>
      </c>
      <c r="CQ329" s="72">
        <f t="shared" si="2956"/>
        <v>278</v>
      </c>
      <c r="CR329" s="72">
        <f t="shared" si="2957"/>
        <v>309</v>
      </c>
      <c r="CS329" s="72">
        <f t="shared" si="2958"/>
        <v>322</v>
      </c>
      <c r="CT329" s="23">
        <f t="shared" si="2959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30" x14ac:dyDescent="0.2">
      <c r="A330" s="3" t="str">
        <f t="shared" ref="A330:A444" si="2960">CONCATENATE(B330,"_",C330)</f>
        <v>opsd_bovin_5EN0</v>
      </c>
      <c r="B330" s="3" t="s">
        <v>915</v>
      </c>
      <c r="C330" s="3" t="s">
        <v>1354</v>
      </c>
      <c r="D330" s="3" t="str">
        <f>IFERROR(MID(VLOOKUP($B330,Seqs!$A:$B,2,0),E330,1),"")</f>
        <v>E</v>
      </c>
      <c r="E330" s="105">
        <v>33</v>
      </c>
      <c r="F330" s="3" t="str">
        <f>IFERROR(MID(VLOOKUP($B330,Seqs!$A:$B,2,0),G330,1),"")</f>
        <v>H</v>
      </c>
      <c r="G330" s="3">
        <v>65</v>
      </c>
      <c r="H330" s="3" t="str">
        <f>IFERROR(MID(VLOOKUP($B330,Seqs!$A:$B,2,0),I330,1),"")</f>
        <v>K</v>
      </c>
      <c r="I330" s="23">
        <v>66</v>
      </c>
      <c r="J330" s="3" t="str">
        <f>IFERROR(MID(VLOOKUP($B330,Seqs!$A:$B,2,0),K330,1),"")</f>
        <v>R</v>
      </c>
      <c r="K330" s="23">
        <v>69</v>
      </c>
      <c r="L330" s="3" t="str">
        <f>IFERROR(MID(VLOOKUP($B330,Seqs!$A:$B,2,0),M330,1),"")</f>
        <v>T</v>
      </c>
      <c r="M330" s="3">
        <v>70</v>
      </c>
      <c r="N330" s="3" t="str">
        <f>IFERROR(MID(VLOOKUP($B330,Seqs!$A:$B,2,0),O330,1),"")</f>
        <v>G</v>
      </c>
      <c r="O330" s="3">
        <v>101</v>
      </c>
      <c r="P330" s="3" t="str">
        <f>IFERROR(MID(VLOOKUP($B330,Seqs!$A:$B,2,0),Q330,1),"")</f>
        <v>Y</v>
      </c>
      <c r="Q330" s="3">
        <v>102</v>
      </c>
      <c r="R330" s="3" t="str">
        <f>IFERROR(MID(VLOOKUP($B330,Seqs!$A:$B,2,0),S330,1),"")</f>
        <v>F</v>
      </c>
      <c r="S330" s="3">
        <v>105</v>
      </c>
      <c r="T330" s="3" t="str">
        <f>IFERROR(MID(VLOOKUP($B330,Seqs!$A:$B,2,0),U330,1),"")</f>
        <v>G</v>
      </c>
      <c r="U330" s="3">
        <v>106</v>
      </c>
      <c r="V330" s="3" t="str">
        <f>IFERROR(MID(VLOOKUP($B330,Seqs!$A:$B,2,0),W330,1),"")</f>
        <v>K</v>
      </c>
      <c r="W330" s="3">
        <v>141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G</v>
      </c>
      <c r="AC330" s="9">
        <v>149</v>
      </c>
      <c r="AD330" s="3" t="str">
        <f>IFERROR(MID(VLOOKUP($B330,Seqs!$A:$B,2,0),AE330,1),"")</f>
        <v>V</v>
      </c>
      <c r="AE330" s="3">
        <v>173</v>
      </c>
      <c r="AF330" s="3" t="str">
        <f>IFERROR(MID(VLOOKUP($B330,Seqs!$A:$B,2,0),AG330,1),"")</f>
        <v>C</v>
      </c>
      <c r="AG330" s="3">
        <v>187</v>
      </c>
      <c r="AH330" s="3" t="str">
        <f>IFERROR(MID(VLOOKUP($B330,Seqs!$A:$B,2,0),AI330,1),"")</f>
        <v>I</v>
      </c>
      <c r="AI330" s="3">
        <v>189</v>
      </c>
      <c r="AJ330" s="3" t="str">
        <f>IFERROR(MID(VLOOKUP($B330,Seqs!$A:$B,2,0),AK330,1),"")</f>
        <v>N</v>
      </c>
      <c r="AK330" s="3">
        <v>199</v>
      </c>
      <c r="AL330" s="3" t="str">
        <f>IFERROR(MID(VLOOKUP($B330,Seqs!$A:$B,2,0),AM330,1),"")</f>
        <v>Q</v>
      </c>
      <c r="AM330" s="3">
        <v>237</v>
      </c>
      <c r="AN330" s="3" t="str">
        <f>IFERROR(MID(VLOOKUP($B330,Seqs!$A:$B,2,0),AO330,1),"")</f>
        <v>A</v>
      </c>
      <c r="AO330" s="3">
        <v>241</v>
      </c>
      <c r="AP330" s="3" t="str">
        <f>IFERROR(MID(VLOOKUP($B330,Seqs!$A:$B,2,0),AQ330,1),"")</f>
        <v>H</v>
      </c>
      <c r="AQ330" s="3">
        <v>278</v>
      </c>
      <c r="AR330" s="3" t="str">
        <f>IFERROR(MID(VLOOKUP($B330,Seqs!$A:$B,2,0),AS330,1),"")</f>
        <v>G</v>
      </c>
      <c r="AS330" s="3">
        <v>284</v>
      </c>
      <c r="AT330" s="3" t="str">
        <f>IFERROR(MID(VLOOKUP($B330,Seqs!$A:$B,2,0),AU330,1),"")</f>
        <v>M</v>
      </c>
      <c r="AU330" s="3">
        <v>309</v>
      </c>
      <c r="AV330" s="3" t="str">
        <f>IFERROR(MID(VLOOKUP($B330,Seqs!$A:$B,2,0),AW330,1),"")</f>
        <v>N</v>
      </c>
      <c r="AW330" s="3">
        <v>310</v>
      </c>
      <c r="AX330" s="3" t="str">
        <f>IFERROR(MID(VLOOKUP($B330,Seqs!$A:$B,2,0),AY330,1),"")</f>
        <v>C</v>
      </c>
      <c r="AY330" s="3">
        <v>322</v>
      </c>
      <c r="AZ330" s="77" t="str">
        <f>VLOOKUP(B330,Classification!A:D,2,0)</f>
        <v>A</v>
      </c>
      <c r="BA330" s="94" t="str">
        <f>VLOOKUP(B330,Classification!A:D,4,0)</f>
        <v>Opsins</v>
      </c>
      <c r="BB330" s="27" t="b">
        <f t="shared" ref="BB330:BB444" si="2961"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 t="shared" si="2934"/>
        <v>254</v>
      </c>
      <c r="BD330" s="4" t="s">
        <v>23</v>
      </c>
      <c r="BE330" s="3" t="s">
        <v>1287</v>
      </c>
      <c r="BF330" s="118">
        <v>2.81</v>
      </c>
      <c r="BG330" s="49" t="s">
        <v>1373</v>
      </c>
      <c r="BH330" s="49" t="s">
        <v>1373</v>
      </c>
      <c r="BI330" s="1"/>
      <c r="BJ330" s="70" t="s">
        <v>1283</v>
      </c>
      <c r="BK330" s="57" t="s">
        <v>1283</v>
      </c>
      <c r="BL330" s="57" t="s">
        <v>1283</v>
      </c>
      <c r="BM330" s="57" t="s">
        <v>1283</v>
      </c>
      <c r="BN330" s="57" t="s">
        <v>1283</v>
      </c>
      <c r="BO330" s="57" t="s">
        <v>1283</v>
      </c>
      <c r="BP330" s="57" t="s">
        <v>1283</v>
      </c>
      <c r="BQ330" s="57" t="s">
        <v>1283</v>
      </c>
      <c r="BR330" s="57" t="s">
        <v>1283</v>
      </c>
      <c r="BS330" s="57" t="s">
        <v>1283</v>
      </c>
      <c r="BT330" s="57" t="s">
        <v>1283</v>
      </c>
      <c r="BU330" s="57" t="s">
        <v>1283</v>
      </c>
      <c r="BV330" s="70">
        <f t="shared" si="2935"/>
        <v>33</v>
      </c>
      <c r="BW330" s="71">
        <f t="shared" si="2936"/>
        <v>66</v>
      </c>
      <c r="BX330" s="72">
        <f t="shared" si="2937"/>
        <v>70</v>
      </c>
      <c r="BY330" s="71">
        <f t="shared" si="2938"/>
        <v>102</v>
      </c>
      <c r="BZ330" s="72">
        <f t="shared" si="2939"/>
        <v>106</v>
      </c>
      <c r="CA330" s="71" t="str">
        <f t="shared" si="2940"/>
        <v>-</v>
      </c>
      <c r="CB330" s="72">
        <f t="shared" si="2941"/>
        <v>149</v>
      </c>
      <c r="CC330" s="71">
        <f t="shared" si="2942"/>
        <v>187</v>
      </c>
      <c r="CD330" s="72">
        <f t="shared" si="2943"/>
        <v>199</v>
      </c>
      <c r="CE330" s="71">
        <f t="shared" si="2944"/>
        <v>241</v>
      </c>
      <c r="CF330" s="72">
        <f t="shared" si="2945"/>
        <v>284</v>
      </c>
      <c r="CG330" s="71">
        <f t="shared" si="2946"/>
        <v>310</v>
      </c>
      <c r="CH330" s="70">
        <f t="shared" si="2947"/>
        <v>65</v>
      </c>
      <c r="CI330" s="71">
        <f t="shared" si="2948"/>
        <v>69</v>
      </c>
      <c r="CJ330" s="72">
        <f t="shared" si="2949"/>
        <v>101</v>
      </c>
      <c r="CK330" s="72">
        <f t="shared" si="2950"/>
        <v>105</v>
      </c>
      <c r="CL330" s="72">
        <f t="shared" si="2951"/>
        <v>141</v>
      </c>
      <c r="CM330" s="72" t="str">
        <f t="shared" si="2952"/>
        <v>-</v>
      </c>
      <c r="CN330" s="72">
        <f t="shared" si="2953"/>
        <v>173</v>
      </c>
      <c r="CO330" s="72">
        <f t="shared" si="2954"/>
        <v>189</v>
      </c>
      <c r="CP330" s="72">
        <f t="shared" si="2955"/>
        <v>237</v>
      </c>
      <c r="CQ330" s="72">
        <f t="shared" si="2956"/>
        <v>278</v>
      </c>
      <c r="CR330" s="72">
        <f t="shared" si="2957"/>
        <v>309</v>
      </c>
      <c r="CS330" s="72">
        <f t="shared" si="2958"/>
        <v>322</v>
      </c>
      <c r="CT330" s="23">
        <f t="shared" si="2959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ref="A331:A341" si="2962">CONCATENATE(B331,"_",C331)</f>
        <v>opsd_bovin_5TE3</v>
      </c>
      <c r="B331" s="3" t="s">
        <v>915</v>
      </c>
      <c r="C331" s="3" t="s">
        <v>1395</v>
      </c>
      <c r="D331" s="3" t="str">
        <f>IFERROR(MID(VLOOKUP($B331,Seqs!$A:$B,2,0),E331,1),"")</f>
        <v>E</v>
      </c>
      <c r="E331" s="105">
        <v>33</v>
      </c>
      <c r="F331" s="3" t="str">
        <f>IFERROR(MID(VLOOKUP($B331,Seqs!$A:$B,2,0),G331,1),"")</f>
        <v>H</v>
      </c>
      <c r="G331" s="3">
        <v>65</v>
      </c>
      <c r="H331" s="3" t="str">
        <f>IFERROR(MID(VLOOKUP($B331,Seqs!$A:$B,2,0),I331,1),"")</f>
        <v>K</v>
      </c>
      <c r="I331" s="23">
        <v>66</v>
      </c>
      <c r="J331" s="3" t="str">
        <f>IFERROR(MID(VLOOKUP($B331,Seqs!$A:$B,2,0),K331,1),"")</f>
        <v>R</v>
      </c>
      <c r="K331" s="23">
        <v>69</v>
      </c>
      <c r="L331" s="3" t="str">
        <f>IFERROR(MID(VLOOKUP($B331,Seqs!$A:$B,2,0),M331,1),"")</f>
        <v>T</v>
      </c>
      <c r="M331" s="3">
        <v>70</v>
      </c>
      <c r="N331" s="3" t="str">
        <f>IFERROR(MID(VLOOKUP($B331,Seqs!$A:$B,2,0),O331,1),"")</f>
        <v>G</v>
      </c>
      <c r="O331" s="3">
        <v>101</v>
      </c>
      <c r="P331" s="3" t="str">
        <f>IFERROR(MID(VLOOKUP($B331,Seqs!$A:$B,2,0),Q331,1),"")</f>
        <v>Y</v>
      </c>
      <c r="Q331" s="3">
        <v>102</v>
      </c>
      <c r="R331" s="3" t="str">
        <f>IFERROR(MID(VLOOKUP($B331,Seqs!$A:$B,2,0),S331,1),"")</f>
        <v>F</v>
      </c>
      <c r="S331" s="3">
        <v>105</v>
      </c>
      <c r="T331" s="3" t="str">
        <f>IFERROR(MID(VLOOKUP($B331,Seqs!$A:$B,2,0),U331,1),"")</f>
        <v>G</v>
      </c>
      <c r="U331" s="3">
        <v>106</v>
      </c>
      <c r="V331" s="3" t="str">
        <f>IFERROR(MID(VLOOKUP($B331,Seqs!$A:$B,2,0),W331,1),"")</f>
        <v>K</v>
      </c>
      <c r="W331" s="3">
        <v>141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G</v>
      </c>
      <c r="AC331" s="3">
        <v>149</v>
      </c>
      <c r="AD331" s="3" t="str">
        <f>IFERROR(MID(VLOOKUP($B331,Seqs!$A:$B,2,0),AE331,1),"")</f>
        <v>V</v>
      </c>
      <c r="AE331" s="3">
        <v>173</v>
      </c>
      <c r="AF331" s="3" t="str">
        <f>IFERROR(MID(VLOOKUP($B331,Seqs!$A:$B,2,0),AG331,1),"")</f>
        <v>C</v>
      </c>
      <c r="AG331" s="3">
        <v>187</v>
      </c>
      <c r="AH331" s="3" t="str">
        <f>IFERROR(MID(VLOOKUP($B331,Seqs!$A:$B,2,0),AI331,1),"")</f>
        <v>I</v>
      </c>
      <c r="AI331" s="3">
        <v>189</v>
      </c>
      <c r="AJ331" s="3" t="str">
        <f>IFERROR(MID(VLOOKUP($B331,Seqs!$A:$B,2,0),AK331,1),"")</f>
        <v>N</v>
      </c>
      <c r="AK331" s="3">
        <v>199</v>
      </c>
      <c r="AL331" s="3" t="str">
        <f>IFERROR(MID(VLOOKUP($B331,Seqs!$A:$B,2,0),AM331,1),"")</f>
        <v>Q</v>
      </c>
      <c r="AM331" s="3">
        <v>237</v>
      </c>
      <c r="AN331" s="3" t="str">
        <f>IFERROR(MID(VLOOKUP($B331,Seqs!$A:$B,2,0),AO331,1),"")</f>
        <v>A</v>
      </c>
      <c r="AO331" s="3">
        <v>241</v>
      </c>
      <c r="AP331" s="3" t="str">
        <f>IFERROR(MID(VLOOKUP($B331,Seqs!$A:$B,2,0),AQ331,1),"")</f>
        <v>H</v>
      </c>
      <c r="AQ331" s="3">
        <v>278</v>
      </c>
      <c r="AR331" s="3" t="str">
        <f>IFERROR(MID(VLOOKUP($B331,Seqs!$A:$B,2,0),AS331,1),"")</f>
        <v>G</v>
      </c>
      <c r="AS331" s="3">
        <v>284</v>
      </c>
      <c r="AT331" s="3" t="str">
        <f>IFERROR(MID(VLOOKUP($B331,Seqs!$A:$B,2,0),AU331,1),"")</f>
        <v>M</v>
      </c>
      <c r="AU331" s="3">
        <v>309</v>
      </c>
      <c r="AV331" s="3" t="str">
        <f>IFERROR(MID(VLOOKUP($B331,Seqs!$A:$B,2,0),AW331,1),"")</f>
        <v>N</v>
      </c>
      <c r="AW331" s="3">
        <v>310</v>
      </c>
      <c r="AX331" s="3" t="str">
        <f>IFERROR(MID(VLOOKUP($B331,Seqs!$A:$B,2,0),AY331,1),"")</f>
        <v>C</v>
      </c>
      <c r="AY331" s="3">
        <v>322</v>
      </c>
      <c r="AZ331" s="77" t="str">
        <f>VLOOKUP(B331,Classification!A:D,2,0)</f>
        <v>A</v>
      </c>
      <c r="BA331" s="94" t="str">
        <f>VLOOKUP(B331,Classification!A:D,4,0)</f>
        <v>Opsins</v>
      </c>
      <c r="BB331" s="27" t="b">
        <f t="shared" ref="BB331:BB341" si="2963"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23">
        <f t="shared" ref="BC331:BC341" si="2964">_xlfn.AGGREGATE(9,6,CH331:CS331)-_xlfn.AGGREGATE(9,6,BV331:CG331)+12</f>
        <v>254</v>
      </c>
      <c r="BD331" s="2" t="s">
        <v>23</v>
      </c>
      <c r="BE331" s="3" t="s">
        <v>1287</v>
      </c>
      <c r="BF331" s="118">
        <v>2.7</v>
      </c>
      <c r="BG331" s="49" t="s">
        <v>1</v>
      </c>
      <c r="BH331" s="49" t="s">
        <v>1373</v>
      </c>
      <c r="BI331" s="1"/>
      <c r="BJ331" s="70" t="s">
        <v>1283</v>
      </c>
      <c r="BK331" s="57" t="s">
        <v>1283</v>
      </c>
      <c r="BL331" s="57" t="s">
        <v>1283</v>
      </c>
      <c r="BM331" s="57" t="s">
        <v>1283</v>
      </c>
      <c r="BN331" s="57" t="s">
        <v>1283</v>
      </c>
      <c r="BO331" s="57" t="s">
        <v>1283</v>
      </c>
      <c r="BP331" s="57" t="s">
        <v>1283</v>
      </c>
      <c r="BQ331" s="57" t="s">
        <v>1283</v>
      </c>
      <c r="BR331" s="57" t="s">
        <v>1283</v>
      </c>
      <c r="BS331" s="57" t="s">
        <v>1283</v>
      </c>
      <c r="BT331" s="57" t="s">
        <v>1283</v>
      </c>
      <c r="BU331" s="57" t="s">
        <v>1283</v>
      </c>
      <c r="BV331" s="70">
        <f t="shared" ref="BV331:BV341" si="2965">E331</f>
        <v>33</v>
      </c>
      <c r="BW331" s="71">
        <f t="shared" ref="BW331:BW341" si="2966">I331</f>
        <v>66</v>
      </c>
      <c r="BX331" s="72">
        <f t="shared" ref="BX331:BX341" si="2967">M331</f>
        <v>70</v>
      </c>
      <c r="BY331" s="71">
        <f t="shared" ref="BY331:BY341" si="2968">Q331</f>
        <v>102</v>
      </c>
      <c r="BZ331" s="72">
        <f t="shared" ref="BZ331:BZ341" si="2969">U331</f>
        <v>106</v>
      </c>
      <c r="CA331" s="71" t="str">
        <f t="shared" ref="CA331:CA341" si="2970">Y331</f>
        <v>-</v>
      </c>
      <c r="CB331" s="72">
        <f t="shared" ref="CB331:CB341" si="2971">AC331</f>
        <v>149</v>
      </c>
      <c r="CC331" s="71">
        <f t="shared" ref="CC331:CC341" si="2972">AG331</f>
        <v>187</v>
      </c>
      <c r="CD331" s="72">
        <f t="shared" ref="CD331:CD341" si="2973">AK331</f>
        <v>199</v>
      </c>
      <c r="CE331" s="71">
        <f t="shared" ref="CE331:CE341" si="2974">AO331</f>
        <v>241</v>
      </c>
      <c r="CF331" s="72">
        <f t="shared" ref="CF331:CF341" si="2975">AS331</f>
        <v>284</v>
      </c>
      <c r="CG331" s="71">
        <f t="shared" ref="CG331:CG341" si="2976">AW331</f>
        <v>310</v>
      </c>
      <c r="CH331" s="70">
        <f t="shared" ref="CH331:CH341" si="2977">G331</f>
        <v>65</v>
      </c>
      <c r="CI331" s="71">
        <f t="shared" ref="CI331:CI341" si="2978">K331</f>
        <v>69</v>
      </c>
      <c r="CJ331" s="72">
        <f t="shared" ref="CJ331:CJ341" si="2979">O331</f>
        <v>101</v>
      </c>
      <c r="CK331" s="72">
        <f t="shared" ref="CK331:CK341" si="2980">S331</f>
        <v>105</v>
      </c>
      <c r="CL331" s="72">
        <f t="shared" ref="CL331:CL341" si="2981">W331</f>
        <v>141</v>
      </c>
      <c r="CM331" s="72" t="str">
        <f t="shared" ref="CM331:CM341" si="2982">AA331</f>
        <v>-</v>
      </c>
      <c r="CN331" s="72">
        <f t="shared" ref="CN331:CN341" si="2983">AE331</f>
        <v>173</v>
      </c>
      <c r="CO331" s="72">
        <f t="shared" ref="CO331:CO341" si="2984">AI331</f>
        <v>189</v>
      </c>
      <c r="CP331" s="72">
        <f t="shared" ref="CP331:CP341" si="2985">AM331</f>
        <v>237</v>
      </c>
      <c r="CQ331" s="72">
        <f t="shared" ref="CQ331:CQ341" si="2986">AQ331</f>
        <v>278</v>
      </c>
      <c r="CR331" s="72">
        <f t="shared" ref="CR331:CR341" si="2987">AU331</f>
        <v>309</v>
      </c>
      <c r="CS331" s="72">
        <f t="shared" ref="CS331:CS341" si="2988">AY331</f>
        <v>322</v>
      </c>
      <c r="CT331" s="23">
        <f t="shared" ref="CT331:CT341" si="2989">M331-K331</f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2962"/>
        <v>opsd_bovin_5TE5</v>
      </c>
      <c r="B332" s="3" t="s">
        <v>915</v>
      </c>
      <c r="C332" s="3" t="s">
        <v>1396</v>
      </c>
      <c r="D332" s="3" t="str">
        <f>IFERROR(MID(VLOOKUP($B332,Seqs!$A:$B,2,0),E332,1),"")</f>
        <v>Q</v>
      </c>
      <c r="E332" s="3">
        <v>36</v>
      </c>
      <c r="F332" s="3" t="str">
        <f>IFERROR(MID(VLOOKUP($B332,Seqs!$A:$B,2,0),G332,1),"")</f>
        <v>H</v>
      </c>
      <c r="G332" s="3">
        <v>65</v>
      </c>
      <c r="H332" s="3" t="str">
        <f>IFERROR(MID(VLOOKUP($B332,Seqs!$A:$B,2,0),I332,1),"")</f>
        <v>K</v>
      </c>
      <c r="I332" s="23">
        <v>66</v>
      </c>
      <c r="J332" s="3" t="str">
        <f>IFERROR(MID(VLOOKUP($B332,Seqs!$A:$B,2,0),K332,1),"")</f>
        <v>R</v>
      </c>
      <c r="K332" s="23">
        <v>69</v>
      </c>
      <c r="L332" s="3" t="str">
        <f>IFERROR(MID(VLOOKUP($B332,Seqs!$A:$B,2,0),M332,1),"")</f>
        <v>T</v>
      </c>
      <c r="M332" s="3">
        <v>70</v>
      </c>
      <c r="N332" s="3" t="str">
        <f>IFERROR(MID(VLOOKUP($B332,Seqs!$A:$B,2,0),O332,1),"")</f>
        <v>G</v>
      </c>
      <c r="O332" s="3">
        <v>101</v>
      </c>
      <c r="P332" s="3" t="str">
        <f>IFERROR(MID(VLOOKUP($B332,Seqs!$A:$B,2,0),Q332,1),"")</f>
        <v>Y</v>
      </c>
      <c r="Q332" s="3">
        <v>102</v>
      </c>
      <c r="R332" s="3" t="str">
        <f>IFERROR(MID(VLOOKUP($B332,Seqs!$A:$B,2,0),S332,1),"")</f>
        <v>F</v>
      </c>
      <c r="S332" s="3">
        <v>105</v>
      </c>
      <c r="T332" s="3" t="str">
        <f>IFERROR(MID(VLOOKUP($B332,Seqs!$A:$B,2,0),U332,1),"")</f>
        <v>G</v>
      </c>
      <c r="U332" s="3">
        <v>106</v>
      </c>
      <c r="V332" s="3" t="str">
        <f>IFERROR(MID(VLOOKUP($B332,Seqs!$A:$B,2,0),W332,1),"")</f>
        <v>K</v>
      </c>
      <c r="W332" s="3">
        <v>141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G</v>
      </c>
      <c r="AC332" s="3">
        <v>149</v>
      </c>
      <c r="AD332" s="3" t="str">
        <f>IFERROR(MID(VLOOKUP($B332,Seqs!$A:$B,2,0),AE332,1),"")</f>
        <v>V</v>
      </c>
      <c r="AE332" s="3">
        <v>173</v>
      </c>
      <c r="AF332" s="3" t="str">
        <f>IFERROR(MID(VLOOKUP($B332,Seqs!$A:$B,2,0),AG332,1),"")</f>
        <v>C</v>
      </c>
      <c r="AG332" s="3">
        <v>187</v>
      </c>
      <c r="AH332" s="3" t="str">
        <f>IFERROR(MID(VLOOKUP($B332,Seqs!$A:$B,2,0),AI332,1),"")</f>
        <v>I</v>
      </c>
      <c r="AI332" s="3">
        <v>189</v>
      </c>
      <c r="AJ332" s="3" t="str">
        <f>IFERROR(MID(VLOOKUP($B332,Seqs!$A:$B,2,0),AK332,1),"")</f>
        <v>S</v>
      </c>
      <c r="AK332" s="3">
        <v>202</v>
      </c>
      <c r="AL332" s="3" t="str">
        <f>IFERROR(MID(VLOOKUP($B332,Seqs!$A:$B,2,0),AM332,1),"")</f>
        <v>L</v>
      </c>
      <c r="AM332" s="3">
        <v>226</v>
      </c>
      <c r="AN332" s="3" t="str">
        <f>IFERROR(MID(VLOOKUP($B332,Seqs!$A:$B,2,0),AO332,1),"")</f>
        <v>T</v>
      </c>
      <c r="AO332" s="3">
        <v>243</v>
      </c>
      <c r="AP332" s="3" t="str">
        <f>IFERROR(MID(VLOOKUP($B332,Seqs!$A:$B,2,0),AQ332,1),"")</f>
        <v>H</v>
      </c>
      <c r="AQ332" s="3">
        <v>278</v>
      </c>
      <c r="AR332" s="3" t="str">
        <f>IFERROR(MID(VLOOKUP($B332,Seqs!$A:$B,2,0),AS332,1),"")</f>
        <v>P</v>
      </c>
      <c r="AS332" s="3">
        <v>285</v>
      </c>
      <c r="AT332" s="3" t="str">
        <f>IFERROR(MID(VLOOKUP($B332,Seqs!$A:$B,2,0),AU332,1),"")</f>
        <v>M</v>
      </c>
      <c r="AU332" s="3">
        <v>309</v>
      </c>
      <c r="AV332" s="3" t="str">
        <f>IFERROR(MID(VLOOKUP($B332,Seqs!$A:$B,2,0),AW332,1),"")</f>
        <v>N</v>
      </c>
      <c r="AW332" s="3">
        <v>310</v>
      </c>
      <c r="AX332" s="3" t="str">
        <f>IFERROR(MID(VLOOKUP($B332,Seqs!$A:$B,2,0),AY332,1),"")</f>
        <v>C</v>
      </c>
      <c r="AY332" s="3">
        <v>323</v>
      </c>
      <c r="AZ332" s="77" t="str">
        <f>VLOOKUP(B332,Classification!A:D,2,0)</f>
        <v>A</v>
      </c>
      <c r="BA332" s="94" t="str">
        <f>VLOOKUP(B332,Classification!A:D,4,0)</f>
        <v>Opsins</v>
      </c>
      <c r="BB332" s="27" t="b">
        <f t="shared" si="2963"/>
        <v>1</v>
      </c>
      <c r="BC332" s="23">
        <f t="shared" si="2964"/>
        <v>235</v>
      </c>
      <c r="BD332" s="2" t="s">
        <v>23</v>
      </c>
      <c r="BE332" s="3" t="s">
        <v>1370</v>
      </c>
      <c r="BF332" s="118">
        <v>4.01</v>
      </c>
      <c r="BG332" s="49" t="s">
        <v>1373</v>
      </c>
      <c r="BH332" s="49" t="s">
        <v>1373</v>
      </c>
      <c r="BI332" s="1"/>
      <c r="BJ332" s="70" t="s">
        <v>1283</v>
      </c>
      <c r="BK332" s="57" t="s">
        <v>1283</v>
      </c>
      <c r="BL332" s="57" t="s">
        <v>1283</v>
      </c>
      <c r="BM332" s="57" t="s">
        <v>1283</v>
      </c>
      <c r="BN332" s="57" t="s">
        <v>1283</v>
      </c>
      <c r="BO332" s="57" t="s">
        <v>1283</v>
      </c>
      <c r="BP332" s="57" t="s">
        <v>1283</v>
      </c>
      <c r="BQ332" s="57" t="s">
        <v>1283</v>
      </c>
      <c r="BR332" s="57" t="s">
        <v>1283</v>
      </c>
      <c r="BS332" s="57" t="s">
        <v>1283</v>
      </c>
      <c r="BT332" s="57" t="s">
        <v>1283</v>
      </c>
      <c r="BU332" s="57" t="s">
        <v>1283</v>
      </c>
      <c r="BV332" s="70">
        <f t="shared" si="2965"/>
        <v>36</v>
      </c>
      <c r="BW332" s="71">
        <f t="shared" si="2966"/>
        <v>66</v>
      </c>
      <c r="BX332" s="72">
        <f t="shared" si="2967"/>
        <v>70</v>
      </c>
      <c r="BY332" s="71">
        <f t="shared" si="2968"/>
        <v>102</v>
      </c>
      <c r="BZ332" s="72">
        <f t="shared" si="2969"/>
        <v>106</v>
      </c>
      <c r="CA332" s="71" t="str">
        <f t="shared" si="2970"/>
        <v>-</v>
      </c>
      <c r="CB332" s="72">
        <f t="shared" si="2971"/>
        <v>149</v>
      </c>
      <c r="CC332" s="71">
        <f t="shared" si="2972"/>
        <v>187</v>
      </c>
      <c r="CD332" s="72">
        <f t="shared" si="2973"/>
        <v>202</v>
      </c>
      <c r="CE332" s="71">
        <f t="shared" si="2974"/>
        <v>243</v>
      </c>
      <c r="CF332" s="72">
        <f t="shared" si="2975"/>
        <v>285</v>
      </c>
      <c r="CG332" s="71">
        <f t="shared" si="2976"/>
        <v>310</v>
      </c>
      <c r="CH332" s="70">
        <f t="shared" si="2977"/>
        <v>65</v>
      </c>
      <c r="CI332" s="71">
        <f t="shared" si="2978"/>
        <v>69</v>
      </c>
      <c r="CJ332" s="72">
        <f t="shared" si="2979"/>
        <v>101</v>
      </c>
      <c r="CK332" s="72">
        <f t="shared" si="2980"/>
        <v>105</v>
      </c>
      <c r="CL332" s="72">
        <f t="shared" si="2981"/>
        <v>141</v>
      </c>
      <c r="CM332" s="72" t="str">
        <f t="shared" si="2982"/>
        <v>-</v>
      </c>
      <c r="CN332" s="72">
        <f t="shared" si="2983"/>
        <v>173</v>
      </c>
      <c r="CO332" s="72">
        <f t="shared" si="2984"/>
        <v>189</v>
      </c>
      <c r="CP332" s="72">
        <f t="shared" si="2985"/>
        <v>226</v>
      </c>
      <c r="CQ332" s="72">
        <f t="shared" si="2986"/>
        <v>278</v>
      </c>
      <c r="CR332" s="72">
        <f t="shared" si="2987"/>
        <v>309</v>
      </c>
      <c r="CS332" s="72">
        <f t="shared" si="2988"/>
        <v>323</v>
      </c>
      <c r="CT332" s="23">
        <f t="shared" si="2989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2962"/>
        <v>opsd_bovin_5WKT</v>
      </c>
      <c r="B333" s="3" t="s">
        <v>915</v>
      </c>
      <c r="C333" s="3" t="s">
        <v>1446</v>
      </c>
      <c r="D333" s="3" t="str">
        <f>IFERROR(MID(VLOOKUP($B333,Seqs!$A:$B,2,0),E333,1),"")</f>
        <v>E</v>
      </c>
      <c r="E333" s="3">
        <v>33</v>
      </c>
      <c r="F333" s="3" t="str">
        <f>IFERROR(MID(VLOOKUP($B333,Seqs!$A:$B,2,0),G333,1),"")</f>
        <v>Q</v>
      </c>
      <c r="G333" s="3">
        <v>64</v>
      </c>
      <c r="H333" s="3" t="str">
        <f>IFERROR(MID(VLOOKUP($B333,Seqs!$A:$B,2,0),I333,1),"")</f>
        <v>K</v>
      </c>
      <c r="I333" s="23">
        <v>66</v>
      </c>
      <c r="J333" s="3" t="str">
        <f>IFERROR(MID(VLOOKUP($B333,Seqs!$A:$B,2,0),K333,1),"")</f>
        <v>R</v>
      </c>
      <c r="K333" s="23">
        <v>69</v>
      </c>
      <c r="L333" s="3" t="str">
        <f>IFERROR(MID(VLOOKUP($B333,Seqs!$A:$B,2,0),M333,1),"")</f>
        <v>N</v>
      </c>
      <c r="M333" s="3">
        <v>73</v>
      </c>
      <c r="N333" s="3" t="str">
        <f>IFERROR(MID(VLOOKUP($B333,Seqs!$A:$B,2,0),O333,1),"")</f>
        <v>G</v>
      </c>
      <c r="O333" s="3">
        <v>101</v>
      </c>
      <c r="P333" s="3" t="str">
        <f>IFERROR(MID(VLOOKUP($B333,Seqs!$A:$B,2,0),Q333,1),"")</f>
        <v>Y</v>
      </c>
      <c r="Q333" s="3">
        <v>102</v>
      </c>
      <c r="R333" s="3" t="str">
        <f>IFERROR(MID(VLOOKUP($B333,Seqs!$A:$B,2,0),S333,1),"")</f>
        <v>F</v>
      </c>
      <c r="S333" s="3">
        <v>105</v>
      </c>
      <c r="T333" s="3" t="str">
        <f>IFERROR(MID(VLOOKUP($B333,Seqs!$A:$B,2,0),U333,1),"")</f>
        <v>G</v>
      </c>
      <c r="U333" s="3">
        <v>106</v>
      </c>
      <c r="V333" s="3" t="str">
        <f>IFERROR(MID(VLOOKUP($B333,Seqs!$A:$B,2,0),W333,1),"")</f>
        <v>K</v>
      </c>
      <c r="W333" s="3">
        <v>141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G</v>
      </c>
      <c r="AC333" s="3">
        <v>149</v>
      </c>
      <c r="AD333" s="3" t="str">
        <f>IFERROR(MID(VLOOKUP($B333,Seqs!$A:$B,2,0),AE333,1),"")</f>
        <v>V</v>
      </c>
      <c r="AE333" s="3">
        <v>173</v>
      </c>
      <c r="AF333" s="3" t="str">
        <f>IFERROR(MID(VLOOKUP($B333,Seqs!$A:$B,2,0),AG333,1),"")</f>
        <v>C</v>
      </c>
      <c r="AG333" s="3">
        <v>187</v>
      </c>
      <c r="AH333" s="3" t="str">
        <f>IFERROR(MID(VLOOKUP($B333,Seqs!$A:$B,2,0),AI333,1),"")</f>
        <v>I</v>
      </c>
      <c r="AI333" s="3">
        <v>189</v>
      </c>
      <c r="AJ333" s="3" t="str">
        <f>IFERROR(MID(VLOOKUP($B333,Seqs!$A:$B,2,0),AK333,1),"")</f>
        <v>N</v>
      </c>
      <c r="AK333" s="3">
        <v>199</v>
      </c>
      <c r="AL333" s="3" t="str">
        <f>IFERROR(MID(VLOOKUP($B333,Seqs!$A:$B,2,0),AM333,1),"")</f>
        <v>Q</v>
      </c>
      <c r="AM333" s="3">
        <v>236</v>
      </c>
      <c r="AN333" s="3" t="str">
        <f>IFERROR(MID(VLOOKUP($B333,Seqs!$A:$B,2,0),AO333,1),"")</f>
        <v>S</v>
      </c>
      <c r="AO333" s="3">
        <v>240</v>
      </c>
      <c r="AP333" s="3" t="str">
        <f>IFERROR(MID(VLOOKUP($B333,Seqs!$A:$B,2,0),AQ333,1),"")</f>
        <v>H</v>
      </c>
      <c r="AQ333" s="3">
        <v>278</v>
      </c>
      <c r="AR333" s="3" t="str">
        <f>IFERROR(MID(VLOOKUP($B333,Seqs!$A:$B,2,0),AS333,1),"")</f>
        <v>G</v>
      </c>
      <c r="AS333" s="3">
        <v>284</v>
      </c>
      <c r="AT333" s="3" t="str">
        <f>IFERROR(MID(VLOOKUP($B333,Seqs!$A:$B,2,0),AU333,1),"")</f>
        <v>M</v>
      </c>
      <c r="AU333" s="3">
        <v>309</v>
      </c>
      <c r="AV333" s="3" t="str">
        <f>IFERROR(MID(VLOOKUP($B333,Seqs!$A:$B,2,0),AW333,1),"")</f>
        <v>N</v>
      </c>
      <c r="AW333" s="3">
        <v>310</v>
      </c>
      <c r="AX333" s="3" t="str">
        <f>IFERROR(MID(VLOOKUP($B333,Seqs!$A:$B,2,0),AY333,1),"")</f>
        <v>C</v>
      </c>
      <c r="AY333" s="3">
        <v>322</v>
      </c>
      <c r="AZ333" s="77" t="str">
        <f>VLOOKUP(B333,Classification!A:D,2,0)</f>
        <v>A</v>
      </c>
      <c r="BA333" s="94" t="str">
        <f>VLOOKUP(B333,Classification!A:D,4,0)</f>
        <v>Opsins</v>
      </c>
      <c r="BB333" s="27" t="b">
        <f t="shared" si="2963"/>
        <v>1</v>
      </c>
      <c r="BC333" s="23">
        <f t="shared" si="2964"/>
        <v>250</v>
      </c>
      <c r="BD333" s="2" t="s">
        <v>23</v>
      </c>
      <c r="BE333" s="3" t="s">
        <v>1287</v>
      </c>
      <c r="BF333" s="118">
        <v>3.2</v>
      </c>
      <c r="BG333" s="49" t="s">
        <v>1</v>
      </c>
      <c r="BH333" s="49" t="s">
        <v>1</v>
      </c>
      <c r="BI333" s="1"/>
      <c r="BJ333" s="70" t="s">
        <v>1283</v>
      </c>
      <c r="BK333" s="57" t="s">
        <v>1283</v>
      </c>
      <c r="BL333" s="57" t="s">
        <v>1283</v>
      </c>
      <c r="BM333" s="57" t="s">
        <v>1283</v>
      </c>
      <c r="BN333" s="57" t="s">
        <v>1283</v>
      </c>
      <c r="BO333" s="57" t="s">
        <v>1283</v>
      </c>
      <c r="BP333" s="57" t="s">
        <v>1283</v>
      </c>
      <c r="BQ333" s="57" t="s">
        <v>1283</v>
      </c>
      <c r="BR333" s="57" t="s">
        <v>1283</v>
      </c>
      <c r="BS333" s="57" t="s">
        <v>1283</v>
      </c>
      <c r="BT333" s="57" t="s">
        <v>1283</v>
      </c>
      <c r="BU333" s="57" t="s">
        <v>1283</v>
      </c>
      <c r="BV333" s="70">
        <f t="shared" si="2965"/>
        <v>33</v>
      </c>
      <c r="BW333" s="71">
        <f t="shared" si="2966"/>
        <v>66</v>
      </c>
      <c r="BX333" s="72">
        <f t="shared" si="2967"/>
        <v>73</v>
      </c>
      <c r="BY333" s="71">
        <f t="shared" si="2968"/>
        <v>102</v>
      </c>
      <c r="BZ333" s="72">
        <f t="shared" si="2969"/>
        <v>106</v>
      </c>
      <c r="CA333" s="71" t="str">
        <f t="shared" si="2970"/>
        <v>-</v>
      </c>
      <c r="CB333" s="72">
        <f t="shared" si="2971"/>
        <v>149</v>
      </c>
      <c r="CC333" s="71">
        <f t="shared" si="2972"/>
        <v>187</v>
      </c>
      <c r="CD333" s="72">
        <f t="shared" si="2973"/>
        <v>199</v>
      </c>
      <c r="CE333" s="71">
        <f t="shared" si="2974"/>
        <v>240</v>
      </c>
      <c r="CF333" s="72">
        <f t="shared" si="2975"/>
        <v>284</v>
      </c>
      <c r="CG333" s="71">
        <f t="shared" si="2976"/>
        <v>310</v>
      </c>
      <c r="CH333" s="70">
        <f t="shared" si="2977"/>
        <v>64</v>
      </c>
      <c r="CI333" s="71">
        <f t="shared" si="2978"/>
        <v>69</v>
      </c>
      <c r="CJ333" s="72">
        <f t="shared" si="2979"/>
        <v>101</v>
      </c>
      <c r="CK333" s="72">
        <f t="shared" si="2980"/>
        <v>105</v>
      </c>
      <c r="CL333" s="72">
        <f t="shared" si="2981"/>
        <v>141</v>
      </c>
      <c r="CM333" s="72" t="str">
        <f t="shared" si="2982"/>
        <v>-</v>
      </c>
      <c r="CN333" s="72">
        <f t="shared" si="2983"/>
        <v>173</v>
      </c>
      <c r="CO333" s="72">
        <f t="shared" si="2984"/>
        <v>189</v>
      </c>
      <c r="CP333" s="72">
        <f t="shared" si="2985"/>
        <v>236</v>
      </c>
      <c r="CQ333" s="72">
        <f t="shared" si="2986"/>
        <v>278</v>
      </c>
      <c r="CR333" s="72">
        <f t="shared" si="2987"/>
        <v>309</v>
      </c>
      <c r="CS333" s="72">
        <f t="shared" si="2988"/>
        <v>322</v>
      </c>
      <c r="CT333" s="23">
        <f t="shared" si="2989"/>
        <v>4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2962"/>
        <v>opsd_bovin_6FK6</v>
      </c>
      <c r="B334" s="3" t="s">
        <v>915</v>
      </c>
      <c r="C334" s="3" t="s">
        <v>1477</v>
      </c>
      <c r="D334" s="3" t="str">
        <f>IFERROR(MID(VLOOKUP($B334,Seqs!$A:$B,2,0),E334,1),"")</f>
        <v>E</v>
      </c>
      <c r="E334" s="3">
        <v>33</v>
      </c>
      <c r="F334" s="3" t="str">
        <f>IFERROR(MID(VLOOKUP($B334,Seqs!$A:$B,2,0),G334,1),"")</f>
        <v>Q</v>
      </c>
      <c r="G334" s="3">
        <v>64</v>
      </c>
      <c r="H334" s="3" t="str">
        <f>IFERROR(MID(VLOOKUP($B334,Seqs!$A:$B,2,0),I334,1),"")</f>
        <v>K</v>
      </c>
      <c r="I334" s="23">
        <v>66</v>
      </c>
      <c r="J334" s="3" t="str">
        <f>IFERROR(MID(VLOOKUP($B334,Seqs!$A:$B,2,0),K334,1),"")</f>
        <v>R</v>
      </c>
      <c r="K334" s="23">
        <v>69</v>
      </c>
      <c r="L334" s="3" t="str">
        <f>IFERROR(MID(VLOOKUP($B334,Seqs!$A:$B,2,0),M334,1),"")</f>
        <v>N</v>
      </c>
      <c r="M334" s="3">
        <v>73</v>
      </c>
      <c r="N334" s="3" t="str">
        <f>IFERROR(MID(VLOOKUP($B334,Seqs!$A:$B,2,0),O334,1),"")</f>
        <v>G</v>
      </c>
      <c r="O334" s="3">
        <v>101</v>
      </c>
      <c r="P334" s="3" t="str">
        <f>IFERROR(MID(VLOOKUP($B334,Seqs!$A:$B,2,0),Q334,1),"")</f>
        <v>Y</v>
      </c>
      <c r="Q334" s="3">
        <v>102</v>
      </c>
      <c r="R334" s="3" t="str">
        <f>IFERROR(MID(VLOOKUP($B334,Seqs!$A:$B,2,0),S334,1),"")</f>
        <v>F</v>
      </c>
      <c r="S334" s="3">
        <v>105</v>
      </c>
      <c r="T334" s="3" t="str">
        <f>IFERROR(MID(VLOOKUP($B334,Seqs!$A:$B,2,0),U334,1),"")</f>
        <v>G</v>
      </c>
      <c r="U334" s="3">
        <v>106</v>
      </c>
      <c r="V334" s="3" t="str">
        <f>IFERROR(MID(VLOOKUP($B334,Seqs!$A:$B,2,0),W334,1),"")</f>
        <v>K</v>
      </c>
      <c r="W334" s="3">
        <v>141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G</v>
      </c>
      <c r="AC334" s="3">
        <v>149</v>
      </c>
      <c r="AD334" s="3" t="str">
        <f>IFERROR(MID(VLOOKUP($B334,Seqs!$A:$B,2,0),AE334,1),"")</f>
        <v>V</v>
      </c>
      <c r="AE334" s="3">
        <v>173</v>
      </c>
      <c r="AF334" s="3" t="str">
        <f>IFERROR(MID(VLOOKUP($B334,Seqs!$A:$B,2,0),AG334,1),"")</f>
        <v>C</v>
      </c>
      <c r="AG334" s="3">
        <v>187</v>
      </c>
      <c r="AH334" s="3" t="str">
        <f>IFERROR(MID(VLOOKUP($B334,Seqs!$A:$B,2,0),AI334,1),"")</f>
        <v>I</v>
      </c>
      <c r="AI334" s="3">
        <v>189</v>
      </c>
      <c r="AJ334" s="3" t="str">
        <f>IFERROR(MID(VLOOKUP($B334,Seqs!$A:$B,2,0),AK334,1),"")</f>
        <v>N</v>
      </c>
      <c r="AK334" s="3">
        <v>199</v>
      </c>
      <c r="AL334" s="3" t="str">
        <f>IFERROR(MID(VLOOKUP($B334,Seqs!$A:$B,2,0),AM334,1),"")</f>
        <v>Q</v>
      </c>
      <c r="AM334" s="3">
        <v>236</v>
      </c>
      <c r="AN334" s="3" t="str">
        <f>IFERROR(MID(VLOOKUP($B334,Seqs!$A:$B,2,0),AO334,1),"")</f>
        <v>S</v>
      </c>
      <c r="AO334" s="3">
        <v>240</v>
      </c>
      <c r="AP334" s="3" t="str">
        <f>IFERROR(MID(VLOOKUP($B334,Seqs!$A:$B,2,0),AQ334,1),"")</f>
        <v>H</v>
      </c>
      <c r="AQ334" s="3">
        <v>278</v>
      </c>
      <c r="AR334" s="3" t="str">
        <f>IFERROR(MID(VLOOKUP($B334,Seqs!$A:$B,2,0),AS334,1),"")</f>
        <v>G</v>
      </c>
      <c r="AS334" s="3">
        <v>284</v>
      </c>
      <c r="AT334" s="3" t="str">
        <f>IFERROR(MID(VLOOKUP($B334,Seqs!$A:$B,2,0),AU334,1),"")</f>
        <v>M</v>
      </c>
      <c r="AU334" s="3">
        <v>309</v>
      </c>
      <c r="AV334" s="3" t="str">
        <f>IFERROR(MID(VLOOKUP($B334,Seqs!$A:$B,2,0),AW334,1),"")</f>
        <v>N</v>
      </c>
      <c r="AW334" s="3">
        <v>310</v>
      </c>
      <c r="AX334" s="3" t="str">
        <f>IFERROR(MID(VLOOKUP($B334,Seqs!$A:$B,2,0),AY334,1),"")</f>
        <v>C</v>
      </c>
      <c r="AY334" s="3">
        <v>322</v>
      </c>
      <c r="AZ334" s="77" t="str">
        <f>VLOOKUP(B334,Classification!A:D,2,0)</f>
        <v>A</v>
      </c>
      <c r="BA334" s="94" t="str">
        <f>VLOOKUP(B334,Classification!A:D,4,0)</f>
        <v>Opsins</v>
      </c>
      <c r="BB334" s="27" t="b">
        <f t="shared" si="2963"/>
        <v>1</v>
      </c>
      <c r="BC334" s="23">
        <f t="shared" si="2964"/>
        <v>250</v>
      </c>
      <c r="BD334" s="2" t="s">
        <v>23</v>
      </c>
      <c r="BE334" s="3" t="s">
        <v>1287</v>
      </c>
      <c r="BF334" s="118">
        <v>2.36</v>
      </c>
      <c r="BG334" s="49" t="s">
        <v>1</v>
      </c>
      <c r="BH334" s="49" t="s">
        <v>1</v>
      </c>
      <c r="BI334" s="1"/>
      <c r="BJ334" s="70" t="s">
        <v>1283</v>
      </c>
      <c r="BK334" s="57" t="s">
        <v>1283</v>
      </c>
      <c r="BL334" s="57" t="s">
        <v>1283</v>
      </c>
      <c r="BM334" s="57" t="s">
        <v>1283</v>
      </c>
      <c r="BN334" s="57" t="s">
        <v>1283</v>
      </c>
      <c r="BO334" s="57" t="s">
        <v>1283</v>
      </c>
      <c r="BP334" s="57" t="s">
        <v>1283</v>
      </c>
      <c r="BQ334" s="57" t="s">
        <v>1283</v>
      </c>
      <c r="BR334" s="57" t="s">
        <v>1283</v>
      </c>
      <c r="BS334" s="57" t="s">
        <v>1283</v>
      </c>
      <c r="BT334" s="57" t="s">
        <v>1283</v>
      </c>
      <c r="BU334" s="57" t="s">
        <v>1283</v>
      </c>
      <c r="BV334" s="70">
        <f t="shared" si="2965"/>
        <v>33</v>
      </c>
      <c r="BW334" s="71">
        <f t="shared" si="2966"/>
        <v>66</v>
      </c>
      <c r="BX334" s="72">
        <f t="shared" si="2967"/>
        <v>73</v>
      </c>
      <c r="BY334" s="71">
        <f t="shared" si="2968"/>
        <v>102</v>
      </c>
      <c r="BZ334" s="72">
        <f t="shared" si="2969"/>
        <v>106</v>
      </c>
      <c r="CA334" s="71" t="str">
        <f t="shared" si="2970"/>
        <v>-</v>
      </c>
      <c r="CB334" s="72">
        <f t="shared" si="2971"/>
        <v>149</v>
      </c>
      <c r="CC334" s="71">
        <f t="shared" si="2972"/>
        <v>187</v>
      </c>
      <c r="CD334" s="72">
        <f t="shared" si="2973"/>
        <v>199</v>
      </c>
      <c r="CE334" s="71">
        <f t="shared" si="2974"/>
        <v>240</v>
      </c>
      <c r="CF334" s="72">
        <f t="shared" si="2975"/>
        <v>284</v>
      </c>
      <c r="CG334" s="71">
        <f t="shared" si="2976"/>
        <v>310</v>
      </c>
      <c r="CH334" s="70">
        <f t="shared" si="2977"/>
        <v>64</v>
      </c>
      <c r="CI334" s="71">
        <f t="shared" si="2978"/>
        <v>69</v>
      </c>
      <c r="CJ334" s="72">
        <f t="shared" si="2979"/>
        <v>101</v>
      </c>
      <c r="CK334" s="72">
        <f t="shared" si="2980"/>
        <v>105</v>
      </c>
      <c r="CL334" s="72">
        <f t="shared" si="2981"/>
        <v>141</v>
      </c>
      <c r="CM334" s="72" t="str">
        <f t="shared" si="2982"/>
        <v>-</v>
      </c>
      <c r="CN334" s="72">
        <f t="shared" si="2983"/>
        <v>173</v>
      </c>
      <c r="CO334" s="72">
        <f t="shared" si="2984"/>
        <v>189</v>
      </c>
      <c r="CP334" s="72">
        <f t="shared" si="2985"/>
        <v>236</v>
      </c>
      <c r="CQ334" s="72">
        <f t="shared" si="2986"/>
        <v>278</v>
      </c>
      <c r="CR334" s="72">
        <f t="shared" si="2987"/>
        <v>309</v>
      </c>
      <c r="CS334" s="72">
        <f t="shared" si="2988"/>
        <v>322</v>
      </c>
      <c r="CT334" s="23">
        <f t="shared" si="2989"/>
        <v>4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si="2962"/>
        <v>opsd_bovin_6FK7</v>
      </c>
      <c r="B335" s="3" t="s">
        <v>915</v>
      </c>
      <c r="C335" s="3" t="s">
        <v>1478</v>
      </c>
      <c r="D335" s="3" t="str">
        <f>IFERROR(MID(VLOOKUP($B335,Seqs!$A:$B,2,0),E335,1),"")</f>
        <v>E</v>
      </c>
      <c r="E335" s="3">
        <v>33</v>
      </c>
      <c r="F335" s="3" t="str">
        <f>IFERROR(MID(VLOOKUP($B335,Seqs!$A:$B,2,0),G335,1),"")</f>
        <v>Q</v>
      </c>
      <c r="G335" s="3">
        <v>64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N</v>
      </c>
      <c r="M335" s="3">
        <v>73</v>
      </c>
      <c r="N335" s="3" t="str">
        <f>IFERROR(MID(VLOOKUP($B335,Seqs!$A:$B,2,0),O335,1),"")</f>
        <v>G</v>
      </c>
      <c r="O335" s="3">
        <v>101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G</v>
      </c>
      <c r="AC335" s="3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Q</v>
      </c>
      <c r="AM335" s="3">
        <v>236</v>
      </c>
      <c r="AN335" s="3" t="str">
        <f>IFERROR(MID(VLOOKUP($B335,Seqs!$A:$B,2,0),AO335,1),"")</f>
        <v>S</v>
      </c>
      <c r="AO335" s="3">
        <v>240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T</v>
      </c>
      <c r="AS335" s="3">
        <v>289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C</v>
      </c>
      <c r="AY335" s="3">
        <v>322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si="2963"/>
        <v>1</v>
      </c>
      <c r="BC335" s="23">
        <f t="shared" si="2964"/>
        <v>245</v>
      </c>
      <c r="BD335" s="2" t="s">
        <v>23</v>
      </c>
      <c r="BE335" s="3" t="s">
        <v>1287</v>
      </c>
      <c r="BF335" s="118">
        <v>2.62</v>
      </c>
      <c r="BG335" s="49" t="s">
        <v>1</v>
      </c>
      <c r="BH335" s="49" t="s">
        <v>1</v>
      </c>
      <c r="BI335" s="1"/>
      <c r="BJ335" s="70" t="s">
        <v>1283</v>
      </c>
      <c r="BK335" s="57" t="s">
        <v>1283</v>
      </c>
      <c r="BL335" s="57" t="s">
        <v>1283</v>
      </c>
      <c r="BM335" s="57" t="s">
        <v>1283</v>
      </c>
      <c r="BN335" s="57" t="s">
        <v>1283</v>
      </c>
      <c r="BO335" s="57" t="s">
        <v>1283</v>
      </c>
      <c r="BP335" s="57" t="s">
        <v>1283</v>
      </c>
      <c r="BQ335" s="57" t="s">
        <v>1283</v>
      </c>
      <c r="BR335" s="57" t="s">
        <v>1283</v>
      </c>
      <c r="BS335" s="57" t="s">
        <v>1283</v>
      </c>
      <c r="BT335" s="57" t="s">
        <v>1283</v>
      </c>
      <c r="BU335" s="57" t="s">
        <v>1283</v>
      </c>
      <c r="BV335" s="70">
        <f t="shared" si="2965"/>
        <v>33</v>
      </c>
      <c r="BW335" s="71">
        <f t="shared" si="2966"/>
        <v>66</v>
      </c>
      <c r="BX335" s="72">
        <f t="shared" si="2967"/>
        <v>73</v>
      </c>
      <c r="BY335" s="71">
        <f t="shared" si="2968"/>
        <v>102</v>
      </c>
      <c r="BZ335" s="72">
        <f t="shared" si="2969"/>
        <v>106</v>
      </c>
      <c r="CA335" s="71" t="str">
        <f t="shared" si="2970"/>
        <v>-</v>
      </c>
      <c r="CB335" s="72">
        <f t="shared" si="2971"/>
        <v>149</v>
      </c>
      <c r="CC335" s="71">
        <f t="shared" si="2972"/>
        <v>187</v>
      </c>
      <c r="CD335" s="72">
        <f t="shared" si="2973"/>
        <v>199</v>
      </c>
      <c r="CE335" s="71">
        <f t="shared" si="2974"/>
        <v>240</v>
      </c>
      <c r="CF335" s="72">
        <f t="shared" si="2975"/>
        <v>289</v>
      </c>
      <c r="CG335" s="71">
        <f t="shared" si="2976"/>
        <v>310</v>
      </c>
      <c r="CH335" s="70">
        <f t="shared" si="2977"/>
        <v>64</v>
      </c>
      <c r="CI335" s="71">
        <f t="shared" si="2978"/>
        <v>69</v>
      </c>
      <c r="CJ335" s="72">
        <f t="shared" si="2979"/>
        <v>101</v>
      </c>
      <c r="CK335" s="72">
        <f t="shared" si="2980"/>
        <v>105</v>
      </c>
      <c r="CL335" s="72">
        <f t="shared" si="2981"/>
        <v>141</v>
      </c>
      <c r="CM335" s="72" t="str">
        <f t="shared" si="2982"/>
        <v>-</v>
      </c>
      <c r="CN335" s="72">
        <f t="shared" si="2983"/>
        <v>173</v>
      </c>
      <c r="CO335" s="72">
        <f t="shared" si="2984"/>
        <v>189</v>
      </c>
      <c r="CP335" s="72">
        <f t="shared" si="2985"/>
        <v>236</v>
      </c>
      <c r="CQ335" s="72">
        <f t="shared" si="2986"/>
        <v>278</v>
      </c>
      <c r="CR335" s="72">
        <f t="shared" si="2987"/>
        <v>309</v>
      </c>
      <c r="CS335" s="72">
        <f t="shared" si="2988"/>
        <v>322</v>
      </c>
      <c r="CT335" s="23">
        <f t="shared" si="2989"/>
        <v>4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2962"/>
        <v>opsd_bovin_6FK8</v>
      </c>
      <c r="B336" s="3" t="s">
        <v>915</v>
      </c>
      <c r="C336" s="3" t="s">
        <v>1479</v>
      </c>
      <c r="D336" s="3" t="str">
        <f>IFERROR(MID(VLOOKUP($B336,Seqs!$A:$B,2,0),E336,1),"")</f>
        <v>E</v>
      </c>
      <c r="E336" s="3">
        <v>33</v>
      </c>
      <c r="F336" s="3" t="str">
        <f>IFERROR(MID(VLOOKUP($B336,Seqs!$A:$B,2,0),G336,1),"")</f>
        <v>Q</v>
      </c>
      <c r="G336" s="3">
        <v>64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N</v>
      </c>
      <c r="M336" s="3">
        <v>73</v>
      </c>
      <c r="N336" s="3" t="str">
        <f>IFERROR(MID(VLOOKUP($B336,Seqs!$A:$B,2,0),O336,1),"")</f>
        <v>G</v>
      </c>
      <c r="O336" s="3">
        <v>101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G</v>
      </c>
      <c r="AC336" s="3">
        <v>149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199</v>
      </c>
      <c r="AL336" s="3" t="str">
        <f>IFERROR(MID(VLOOKUP($B336,Seqs!$A:$B,2,0),AM336,1),"")</f>
        <v>Q</v>
      </c>
      <c r="AM336" s="3">
        <v>236</v>
      </c>
      <c r="AN336" s="3" t="str">
        <f>IFERROR(MID(VLOOKUP($B336,Seqs!$A:$B,2,0),AO336,1),"")</f>
        <v>S</v>
      </c>
      <c r="AO336" s="3">
        <v>240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T</v>
      </c>
      <c r="AS336" s="3">
        <v>289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si="2963"/>
        <v>1</v>
      </c>
      <c r="BC336" s="23">
        <f t="shared" si="2964"/>
        <v>245</v>
      </c>
      <c r="BD336" s="2" t="s">
        <v>23</v>
      </c>
      <c r="BE336" s="3" t="s">
        <v>1287</v>
      </c>
      <c r="BF336" s="118">
        <v>2.87</v>
      </c>
      <c r="BG336" s="49" t="s">
        <v>1</v>
      </c>
      <c r="BH336" s="49" t="s">
        <v>1</v>
      </c>
      <c r="BI336" s="1"/>
      <c r="BJ336" s="70" t="s">
        <v>1283</v>
      </c>
      <c r="BK336" s="57" t="s">
        <v>1283</v>
      </c>
      <c r="BL336" s="57" t="s">
        <v>1283</v>
      </c>
      <c r="BM336" s="57" t="s">
        <v>1283</v>
      </c>
      <c r="BN336" s="57" t="s">
        <v>1283</v>
      </c>
      <c r="BO336" s="57" t="s">
        <v>1283</v>
      </c>
      <c r="BP336" s="57" t="s">
        <v>1283</v>
      </c>
      <c r="BQ336" s="57" t="s">
        <v>1283</v>
      </c>
      <c r="BR336" s="57" t="s">
        <v>1283</v>
      </c>
      <c r="BS336" s="57" t="s">
        <v>1283</v>
      </c>
      <c r="BT336" s="57" t="s">
        <v>1283</v>
      </c>
      <c r="BU336" s="57" t="s">
        <v>1283</v>
      </c>
      <c r="BV336" s="70">
        <f t="shared" si="2965"/>
        <v>33</v>
      </c>
      <c r="BW336" s="71">
        <f t="shared" si="2966"/>
        <v>66</v>
      </c>
      <c r="BX336" s="72">
        <f t="shared" si="2967"/>
        <v>73</v>
      </c>
      <c r="BY336" s="71">
        <f t="shared" si="2968"/>
        <v>102</v>
      </c>
      <c r="BZ336" s="72">
        <f t="shared" si="2969"/>
        <v>106</v>
      </c>
      <c r="CA336" s="71" t="str">
        <f t="shared" si="2970"/>
        <v>-</v>
      </c>
      <c r="CB336" s="72">
        <f t="shared" si="2971"/>
        <v>149</v>
      </c>
      <c r="CC336" s="71">
        <f t="shared" si="2972"/>
        <v>187</v>
      </c>
      <c r="CD336" s="72">
        <f t="shared" si="2973"/>
        <v>199</v>
      </c>
      <c r="CE336" s="71">
        <f t="shared" si="2974"/>
        <v>240</v>
      </c>
      <c r="CF336" s="72">
        <f t="shared" si="2975"/>
        <v>289</v>
      </c>
      <c r="CG336" s="71">
        <f t="shared" si="2976"/>
        <v>310</v>
      </c>
      <c r="CH336" s="70">
        <f t="shared" si="2977"/>
        <v>64</v>
      </c>
      <c r="CI336" s="71">
        <f t="shared" si="2978"/>
        <v>69</v>
      </c>
      <c r="CJ336" s="72">
        <f t="shared" si="2979"/>
        <v>101</v>
      </c>
      <c r="CK336" s="72">
        <f t="shared" si="2980"/>
        <v>105</v>
      </c>
      <c r="CL336" s="72">
        <f t="shared" si="2981"/>
        <v>141</v>
      </c>
      <c r="CM336" s="72" t="str">
        <f t="shared" si="2982"/>
        <v>-</v>
      </c>
      <c r="CN336" s="72">
        <f t="shared" si="2983"/>
        <v>173</v>
      </c>
      <c r="CO336" s="72">
        <f t="shared" si="2984"/>
        <v>189</v>
      </c>
      <c r="CP336" s="72">
        <f t="shared" si="2985"/>
        <v>236</v>
      </c>
      <c r="CQ336" s="72">
        <f t="shared" si="2986"/>
        <v>278</v>
      </c>
      <c r="CR336" s="72">
        <f t="shared" si="2987"/>
        <v>309</v>
      </c>
      <c r="CS336" s="72">
        <f t="shared" si="2988"/>
        <v>322</v>
      </c>
      <c r="CT336" s="23">
        <f t="shared" si="2989"/>
        <v>4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2962"/>
        <v>opsd_bovin_6FK9</v>
      </c>
      <c r="B337" s="3" t="s">
        <v>915</v>
      </c>
      <c r="C337" s="3" t="s">
        <v>1480</v>
      </c>
      <c r="D337" s="3" t="str">
        <f>IFERROR(MID(VLOOKUP($B337,Seqs!$A:$B,2,0),E337,1),"")</f>
        <v>E</v>
      </c>
      <c r="E337" s="3">
        <v>33</v>
      </c>
      <c r="F337" s="3" t="str">
        <f>IFERROR(MID(VLOOKUP($B337,Seqs!$A:$B,2,0),G337,1),"")</f>
        <v>Q</v>
      </c>
      <c r="G337" s="3">
        <v>64</v>
      </c>
      <c r="H337" s="3" t="str">
        <f>IFERROR(MID(VLOOKUP($B337,Seqs!$A:$B,2,0),I337,1),"")</f>
        <v>K</v>
      </c>
      <c r="I337" s="23">
        <v>66</v>
      </c>
      <c r="J337" s="3" t="str">
        <f>IFERROR(MID(VLOOKUP($B337,Seqs!$A:$B,2,0),K337,1),"")</f>
        <v>R</v>
      </c>
      <c r="K337" s="23">
        <v>69</v>
      </c>
      <c r="L337" s="3" t="str">
        <f>IFERROR(MID(VLOOKUP($B337,Seqs!$A:$B,2,0),M337,1),"")</f>
        <v>N</v>
      </c>
      <c r="M337" s="3">
        <v>73</v>
      </c>
      <c r="N337" s="3" t="str">
        <f>IFERROR(MID(VLOOKUP($B337,Seqs!$A:$B,2,0),O337,1),"")</f>
        <v>G</v>
      </c>
      <c r="O337" s="3">
        <v>101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K</v>
      </c>
      <c r="W337" s="3">
        <v>141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G</v>
      </c>
      <c r="AC337" s="3">
        <v>149</v>
      </c>
      <c r="AD337" s="3" t="str">
        <f>IFERROR(MID(VLOOKUP($B337,Seqs!$A:$B,2,0),AE337,1),"")</f>
        <v>V</v>
      </c>
      <c r="AE337" s="3">
        <v>173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236</v>
      </c>
      <c r="AN337" s="3" t="str">
        <f>IFERROR(MID(VLOOKUP($B337,Seqs!$A:$B,2,0),AO337,1),"")</f>
        <v>S</v>
      </c>
      <c r="AO337" s="3">
        <v>240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N</v>
      </c>
      <c r="AW337" s="3">
        <v>310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 t="shared" si="2963"/>
        <v>1</v>
      </c>
      <c r="BC337" s="23">
        <f t="shared" si="2964"/>
        <v>250</v>
      </c>
      <c r="BD337" s="2" t="s">
        <v>23</v>
      </c>
      <c r="BE337" s="3" t="s">
        <v>1287</v>
      </c>
      <c r="BF337" s="118">
        <v>2.63</v>
      </c>
      <c r="BG337" s="49" t="s">
        <v>1</v>
      </c>
      <c r="BH337" s="49" t="s">
        <v>1</v>
      </c>
      <c r="BI337" s="1"/>
      <c r="BJ337" s="70" t="s">
        <v>1283</v>
      </c>
      <c r="BK337" s="57" t="s">
        <v>1283</v>
      </c>
      <c r="BL337" s="57" t="s">
        <v>1283</v>
      </c>
      <c r="BM337" s="57" t="s">
        <v>1283</v>
      </c>
      <c r="BN337" s="57" t="s">
        <v>1283</v>
      </c>
      <c r="BO337" s="57" t="s">
        <v>1283</v>
      </c>
      <c r="BP337" s="57" t="s">
        <v>1283</v>
      </c>
      <c r="BQ337" s="57" t="s">
        <v>1283</v>
      </c>
      <c r="BR337" s="57" t="s">
        <v>1283</v>
      </c>
      <c r="BS337" s="57" t="s">
        <v>1283</v>
      </c>
      <c r="BT337" s="57" t="s">
        <v>1283</v>
      </c>
      <c r="BU337" s="57" t="s">
        <v>1283</v>
      </c>
      <c r="BV337" s="70">
        <f t="shared" si="2965"/>
        <v>33</v>
      </c>
      <c r="BW337" s="71">
        <f t="shared" si="2966"/>
        <v>66</v>
      </c>
      <c r="BX337" s="72">
        <f t="shared" si="2967"/>
        <v>73</v>
      </c>
      <c r="BY337" s="71">
        <f t="shared" si="2968"/>
        <v>102</v>
      </c>
      <c r="BZ337" s="72">
        <f t="shared" si="2969"/>
        <v>106</v>
      </c>
      <c r="CA337" s="71" t="str">
        <f t="shared" si="2970"/>
        <v>-</v>
      </c>
      <c r="CB337" s="72">
        <f t="shared" si="2971"/>
        <v>149</v>
      </c>
      <c r="CC337" s="71">
        <f t="shared" si="2972"/>
        <v>187</v>
      </c>
      <c r="CD337" s="72">
        <f t="shared" si="2973"/>
        <v>199</v>
      </c>
      <c r="CE337" s="71">
        <f t="shared" si="2974"/>
        <v>240</v>
      </c>
      <c r="CF337" s="72">
        <f t="shared" si="2975"/>
        <v>284</v>
      </c>
      <c r="CG337" s="71">
        <f t="shared" si="2976"/>
        <v>310</v>
      </c>
      <c r="CH337" s="70">
        <f t="shared" si="2977"/>
        <v>64</v>
      </c>
      <c r="CI337" s="71">
        <f t="shared" si="2978"/>
        <v>69</v>
      </c>
      <c r="CJ337" s="72">
        <f t="shared" si="2979"/>
        <v>101</v>
      </c>
      <c r="CK337" s="72">
        <f t="shared" si="2980"/>
        <v>105</v>
      </c>
      <c r="CL337" s="72">
        <f t="shared" si="2981"/>
        <v>141</v>
      </c>
      <c r="CM337" s="72" t="str">
        <f t="shared" si="2982"/>
        <v>-</v>
      </c>
      <c r="CN337" s="72">
        <f t="shared" si="2983"/>
        <v>173</v>
      </c>
      <c r="CO337" s="72">
        <f t="shared" si="2984"/>
        <v>189</v>
      </c>
      <c r="CP337" s="72">
        <f t="shared" si="2985"/>
        <v>236</v>
      </c>
      <c r="CQ337" s="72">
        <f t="shared" si="2986"/>
        <v>278</v>
      </c>
      <c r="CR337" s="72">
        <f t="shared" si="2987"/>
        <v>309</v>
      </c>
      <c r="CS337" s="72">
        <f t="shared" si="2988"/>
        <v>322</v>
      </c>
      <c r="CT337" s="23">
        <f t="shared" si="2989"/>
        <v>4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2962"/>
        <v>opsd_bovin_6FKA</v>
      </c>
      <c r="B338" s="3" t="s">
        <v>915</v>
      </c>
      <c r="C338" s="3" t="s">
        <v>1481</v>
      </c>
      <c r="D338" s="3" t="str">
        <f>IFERROR(MID(VLOOKUP($B338,Seqs!$A:$B,2,0),E338,1),"")</f>
        <v>E</v>
      </c>
      <c r="E338" s="3">
        <v>33</v>
      </c>
      <c r="F338" s="3" t="str">
        <f>IFERROR(MID(VLOOKUP($B338,Seqs!$A:$B,2,0),G338,1),"")</f>
        <v>Q</v>
      </c>
      <c r="G338" s="3">
        <v>64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N</v>
      </c>
      <c r="M338" s="3">
        <v>73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K</v>
      </c>
      <c r="W338" s="3">
        <v>141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3">
        <v>149</v>
      </c>
      <c r="AD338" s="3" t="str">
        <f>IFERROR(MID(VLOOKUP($B338,Seqs!$A:$B,2,0),AE338,1),"")</f>
        <v>V</v>
      </c>
      <c r="AE338" s="3">
        <v>173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Q</v>
      </c>
      <c r="AM338" s="3">
        <v>236</v>
      </c>
      <c r="AN338" s="3" t="str">
        <f>IFERROR(MID(VLOOKUP($B338,Seqs!$A:$B,2,0),AO338,1),"")</f>
        <v>S</v>
      </c>
      <c r="AO338" s="3">
        <v>240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309</v>
      </c>
      <c r="AV338" s="3" t="str">
        <f>IFERROR(MID(VLOOKUP($B338,Seqs!$A:$B,2,0),AW338,1),"")</f>
        <v>N</v>
      </c>
      <c r="AW338" s="3">
        <v>310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 t="shared" si="2963"/>
        <v>1</v>
      </c>
      <c r="BC338" s="23">
        <f t="shared" si="2964"/>
        <v>250</v>
      </c>
      <c r="BD338" s="2" t="s">
        <v>23</v>
      </c>
      <c r="BE338" s="3" t="s">
        <v>1287</v>
      </c>
      <c r="BF338" s="118">
        <v>2.7</v>
      </c>
      <c r="BG338" s="49" t="s">
        <v>1</v>
      </c>
      <c r="BH338" s="49" t="s">
        <v>1</v>
      </c>
      <c r="BI338" s="1"/>
      <c r="BJ338" s="70" t="s">
        <v>1283</v>
      </c>
      <c r="BK338" s="57" t="s">
        <v>1283</v>
      </c>
      <c r="BL338" s="57" t="s">
        <v>1283</v>
      </c>
      <c r="BM338" s="57" t="s">
        <v>1283</v>
      </c>
      <c r="BN338" s="57" t="s">
        <v>1283</v>
      </c>
      <c r="BO338" s="57" t="s">
        <v>1283</v>
      </c>
      <c r="BP338" s="57" t="s">
        <v>1283</v>
      </c>
      <c r="BQ338" s="57" t="s">
        <v>1283</v>
      </c>
      <c r="BR338" s="57" t="s">
        <v>1283</v>
      </c>
      <c r="BS338" s="57" t="s">
        <v>1283</v>
      </c>
      <c r="BT338" s="57" t="s">
        <v>1283</v>
      </c>
      <c r="BU338" s="57" t="s">
        <v>1283</v>
      </c>
      <c r="BV338" s="70">
        <f t="shared" si="2965"/>
        <v>33</v>
      </c>
      <c r="BW338" s="71">
        <f t="shared" si="2966"/>
        <v>66</v>
      </c>
      <c r="BX338" s="72">
        <f t="shared" si="2967"/>
        <v>73</v>
      </c>
      <c r="BY338" s="71">
        <f t="shared" si="2968"/>
        <v>102</v>
      </c>
      <c r="BZ338" s="72">
        <f t="shared" si="2969"/>
        <v>106</v>
      </c>
      <c r="CA338" s="71" t="str">
        <f t="shared" si="2970"/>
        <v>-</v>
      </c>
      <c r="CB338" s="72">
        <f t="shared" si="2971"/>
        <v>149</v>
      </c>
      <c r="CC338" s="71">
        <f t="shared" si="2972"/>
        <v>187</v>
      </c>
      <c r="CD338" s="72">
        <f t="shared" si="2973"/>
        <v>199</v>
      </c>
      <c r="CE338" s="71">
        <f t="shared" si="2974"/>
        <v>240</v>
      </c>
      <c r="CF338" s="72">
        <f t="shared" si="2975"/>
        <v>284</v>
      </c>
      <c r="CG338" s="71">
        <f t="shared" si="2976"/>
        <v>310</v>
      </c>
      <c r="CH338" s="70">
        <f t="shared" si="2977"/>
        <v>64</v>
      </c>
      <c r="CI338" s="71">
        <f t="shared" si="2978"/>
        <v>69</v>
      </c>
      <c r="CJ338" s="72">
        <f t="shared" si="2979"/>
        <v>101</v>
      </c>
      <c r="CK338" s="72">
        <f t="shared" si="2980"/>
        <v>105</v>
      </c>
      <c r="CL338" s="72">
        <f t="shared" si="2981"/>
        <v>141</v>
      </c>
      <c r="CM338" s="72" t="str">
        <f t="shared" si="2982"/>
        <v>-</v>
      </c>
      <c r="CN338" s="72">
        <f t="shared" si="2983"/>
        <v>173</v>
      </c>
      <c r="CO338" s="72">
        <f t="shared" si="2984"/>
        <v>189</v>
      </c>
      <c r="CP338" s="72">
        <f t="shared" si="2985"/>
        <v>236</v>
      </c>
      <c r="CQ338" s="72">
        <f t="shared" si="2986"/>
        <v>278</v>
      </c>
      <c r="CR338" s="72">
        <f t="shared" si="2987"/>
        <v>309</v>
      </c>
      <c r="CS338" s="72">
        <f t="shared" si="2988"/>
        <v>322</v>
      </c>
      <c r="CT338" s="23">
        <f t="shared" si="2989"/>
        <v>4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si="2962"/>
        <v>opsd_bovin_6FKB</v>
      </c>
      <c r="B339" s="3" t="s">
        <v>915</v>
      </c>
      <c r="C339" s="3" t="s">
        <v>1482</v>
      </c>
      <c r="D339" s="3" t="str">
        <f>IFERROR(MID(VLOOKUP($B339,Seqs!$A:$B,2,0),E339,1),"")</f>
        <v>E</v>
      </c>
      <c r="E339" s="3">
        <v>33</v>
      </c>
      <c r="F339" s="3" t="str">
        <f>IFERROR(MID(VLOOKUP($B339,Seqs!$A:$B,2,0),G339,1),"")</f>
        <v>Q</v>
      </c>
      <c r="G339" s="3">
        <v>64</v>
      </c>
      <c r="H339" s="3" t="str">
        <f>IFERROR(MID(VLOOKUP($B339,Seqs!$A:$B,2,0),I339,1),"")</f>
        <v>K</v>
      </c>
      <c r="I339" s="23">
        <v>66</v>
      </c>
      <c r="J339" s="3" t="str">
        <f>IFERROR(MID(VLOOKUP($B339,Seqs!$A:$B,2,0),K339,1),"")</f>
        <v>R</v>
      </c>
      <c r="K339" s="23">
        <v>69</v>
      </c>
      <c r="L339" s="3" t="str">
        <f>IFERROR(MID(VLOOKUP($B339,Seqs!$A:$B,2,0),M339,1),"")</f>
        <v>N</v>
      </c>
      <c r="M339" s="3">
        <v>73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G</v>
      </c>
      <c r="AC339" s="3">
        <v>149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199</v>
      </c>
      <c r="AL339" s="3" t="str">
        <f>IFERROR(MID(VLOOKUP($B339,Seqs!$A:$B,2,0),AM339,1),"")</f>
        <v>Q</v>
      </c>
      <c r="AM339" s="3">
        <v>236</v>
      </c>
      <c r="AN339" s="3" t="str">
        <f>IFERROR(MID(VLOOKUP($B339,Seqs!$A:$B,2,0),AO339,1),"")</f>
        <v>S</v>
      </c>
      <c r="AO339" s="3">
        <v>240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G</v>
      </c>
      <c r="AS339" s="3">
        <v>284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C</v>
      </c>
      <c r="AY339" s="3">
        <v>322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si="2963"/>
        <v>1</v>
      </c>
      <c r="BC339" s="23">
        <f t="shared" si="2964"/>
        <v>250</v>
      </c>
      <c r="BD339" s="2" t="s">
        <v>23</v>
      </c>
      <c r="BE339" s="3" t="s">
        <v>1287</v>
      </c>
      <c r="BF339" s="118">
        <v>3.03</v>
      </c>
      <c r="BG339" s="49" t="s">
        <v>1</v>
      </c>
      <c r="BH339" s="49" t="s">
        <v>1</v>
      </c>
      <c r="BI339" s="1"/>
      <c r="BJ339" s="70" t="s">
        <v>1283</v>
      </c>
      <c r="BK339" s="57" t="s">
        <v>1283</v>
      </c>
      <c r="BL339" s="57" t="s">
        <v>1283</v>
      </c>
      <c r="BM339" s="57" t="s">
        <v>1283</v>
      </c>
      <c r="BN339" s="57" t="s">
        <v>1283</v>
      </c>
      <c r="BO339" s="57" t="s">
        <v>1283</v>
      </c>
      <c r="BP339" s="57" t="s">
        <v>1283</v>
      </c>
      <c r="BQ339" s="57" t="s">
        <v>1283</v>
      </c>
      <c r="BR339" s="57" t="s">
        <v>1283</v>
      </c>
      <c r="BS339" s="57" t="s">
        <v>1283</v>
      </c>
      <c r="BT339" s="57" t="s">
        <v>1283</v>
      </c>
      <c r="BU339" s="57" t="s">
        <v>1283</v>
      </c>
      <c r="BV339" s="70">
        <f t="shared" si="2965"/>
        <v>33</v>
      </c>
      <c r="BW339" s="71">
        <f t="shared" si="2966"/>
        <v>66</v>
      </c>
      <c r="BX339" s="72">
        <f t="shared" si="2967"/>
        <v>73</v>
      </c>
      <c r="BY339" s="71">
        <f t="shared" si="2968"/>
        <v>102</v>
      </c>
      <c r="BZ339" s="72">
        <f t="shared" si="2969"/>
        <v>106</v>
      </c>
      <c r="CA339" s="71" t="str">
        <f t="shared" si="2970"/>
        <v>-</v>
      </c>
      <c r="CB339" s="72">
        <f t="shared" si="2971"/>
        <v>149</v>
      </c>
      <c r="CC339" s="71">
        <f t="shared" si="2972"/>
        <v>187</v>
      </c>
      <c r="CD339" s="72">
        <f t="shared" si="2973"/>
        <v>199</v>
      </c>
      <c r="CE339" s="71">
        <f t="shared" si="2974"/>
        <v>240</v>
      </c>
      <c r="CF339" s="72">
        <f t="shared" si="2975"/>
        <v>284</v>
      </c>
      <c r="CG339" s="71">
        <f t="shared" si="2976"/>
        <v>310</v>
      </c>
      <c r="CH339" s="70">
        <f t="shared" si="2977"/>
        <v>64</v>
      </c>
      <c r="CI339" s="71">
        <f t="shared" si="2978"/>
        <v>69</v>
      </c>
      <c r="CJ339" s="72">
        <f t="shared" si="2979"/>
        <v>101</v>
      </c>
      <c r="CK339" s="72">
        <f t="shared" si="2980"/>
        <v>105</v>
      </c>
      <c r="CL339" s="72">
        <f t="shared" si="2981"/>
        <v>141</v>
      </c>
      <c r="CM339" s="72" t="str">
        <f t="shared" si="2982"/>
        <v>-</v>
      </c>
      <c r="CN339" s="72">
        <f t="shared" si="2983"/>
        <v>173</v>
      </c>
      <c r="CO339" s="72">
        <f t="shared" si="2984"/>
        <v>189</v>
      </c>
      <c r="CP339" s="72">
        <f t="shared" si="2985"/>
        <v>236</v>
      </c>
      <c r="CQ339" s="72">
        <f t="shared" si="2986"/>
        <v>278</v>
      </c>
      <c r="CR339" s="72">
        <f t="shared" si="2987"/>
        <v>309</v>
      </c>
      <c r="CS339" s="72">
        <f t="shared" si="2988"/>
        <v>322</v>
      </c>
      <c r="CT339" s="23">
        <f t="shared" si="2989"/>
        <v>4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962"/>
        <v>opsd_bovin_6FKC</v>
      </c>
      <c r="B340" s="3" t="s">
        <v>915</v>
      </c>
      <c r="C340" s="3" t="s">
        <v>1483</v>
      </c>
      <c r="D340" s="3" t="str">
        <f>IFERROR(MID(VLOOKUP($B340,Seqs!$A:$B,2,0),E340,1),"")</f>
        <v>E</v>
      </c>
      <c r="E340" s="3">
        <v>33</v>
      </c>
      <c r="F340" s="3" t="str">
        <f>IFERROR(MID(VLOOKUP($B340,Seqs!$A:$B,2,0),G340,1),"")</f>
        <v>Q</v>
      </c>
      <c r="G340" s="3">
        <v>64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N</v>
      </c>
      <c r="M340" s="3">
        <v>73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3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236</v>
      </c>
      <c r="AN340" s="3" t="str">
        <f>IFERROR(MID(VLOOKUP($B340,Seqs!$A:$B,2,0),AO340,1),"")</f>
        <v>S</v>
      </c>
      <c r="AO340" s="3">
        <v>240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T</v>
      </c>
      <c r="AS340" s="3">
        <v>289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322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 t="shared" si="2963"/>
        <v>1</v>
      </c>
      <c r="BC340" s="23">
        <f t="shared" si="2964"/>
        <v>245</v>
      </c>
      <c r="BD340" s="2" t="s">
        <v>23</v>
      </c>
      <c r="BE340" s="3" t="s">
        <v>1287</v>
      </c>
      <c r="BF340" s="118">
        <v>2.46</v>
      </c>
      <c r="BG340" s="49" t="s">
        <v>1</v>
      </c>
      <c r="BH340" s="49" t="s">
        <v>1</v>
      </c>
      <c r="BI340" s="1"/>
      <c r="BJ340" s="70" t="s">
        <v>1283</v>
      </c>
      <c r="BK340" s="57" t="s">
        <v>1283</v>
      </c>
      <c r="BL340" s="57" t="s">
        <v>1283</v>
      </c>
      <c r="BM340" s="57" t="s">
        <v>1283</v>
      </c>
      <c r="BN340" s="57" t="s">
        <v>1283</v>
      </c>
      <c r="BO340" s="57" t="s">
        <v>1283</v>
      </c>
      <c r="BP340" s="57" t="s">
        <v>1283</v>
      </c>
      <c r="BQ340" s="57" t="s">
        <v>1283</v>
      </c>
      <c r="BR340" s="57" t="s">
        <v>1283</v>
      </c>
      <c r="BS340" s="57" t="s">
        <v>1283</v>
      </c>
      <c r="BT340" s="57" t="s">
        <v>1283</v>
      </c>
      <c r="BU340" s="57" t="s">
        <v>1283</v>
      </c>
      <c r="BV340" s="70">
        <f t="shared" si="2965"/>
        <v>33</v>
      </c>
      <c r="BW340" s="71">
        <f t="shared" si="2966"/>
        <v>66</v>
      </c>
      <c r="BX340" s="72">
        <f t="shared" si="2967"/>
        <v>73</v>
      </c>
      <c r="BY340" s="71">
        <f t="shared" si="2968"/>
        <v>102</v>
      </c>
      <c r="BZ340" s="72">
        <f t="shared" si="2969"/>
        <v>106</v>
      </c>
      <c r="CA340" s="71" t="str">
        <f t="shared" si="2970"/>
        <v>-</v>
      </c>
      <c r="CB340" s="72">
        <f t="shared" si="2971"/>
        <v>149</v>
      </c>
      <c r="CC340" s="71">
        <f t="shared" si="2972"/>
        <v>187</v>
      </c>
      <c r="CD340" s="72">
        <f t="shared" si="2973"/>
        <v>199</v>
      </c>
      <c r="CE340" s="71">
        <f t="shared" si="2974"/>
        <v>240</v>
      </c>
      <c r="CF340" s="72">
        <f t="shared" si="2975"/>
        <v>289</v>
      </c>
      <c r="CG340" s="71">
        <f t="shared" si="2976"/>
        <v>310</v>
      </c>
      <c r="CH340" s="70">
        <f t="shared" si="2977"/>
        <v>64</v>
      </c>
      <c r="CI340" s="71">
        <f t="shared" si="2978"/>
        <v>69</v>
      </c>
      <c r="CJ340" s="72">
        <f t="shared" si="2979"/>
        <v>101</v>
      </c>
      <c r="CK340" s="72">
        <f t="shared" si="2980"/>
        <v>105</v>
      </c>
      <c r="CL340" s="72">
        <f t="shared" si="2981"/>
        <v>141</v>
      </c>
      <c r="CM340" s="72" t="str">
        <f t="shared" si="2982"/>
        <v>-</v>
      </c>
      <c r="CN340" s="72">
        <f t="shared" si="2983"/>
        <v>173</v>
      </c>
      <c r="CO340" s="72">
        <f t="shared" si="2984"/>
        <v>189</v>
      </c>
      <c r="CP340" s="72">
        <f t="shared" si="2985"/>
        <v>236</v>
      </c>
      <c r="CQ340" s="72">
        <f t="shared" si="2986"/>
        <v>278</v>
      </c>
      <c r="CR340" s="72">
        <f t="shared" si="2987"/>
        <v>309</v>
      </c>
      <c r="CS340" s="72">
        <f t="shared" si="2988"/>
        <v>322</v>
      </c>
      <c r="CT340" s="23">
        <f t="shared" si="2989"/>
        <v>4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si="2962"/>
        <v>opsd_bovin_6FKD</v>
      </c>
      <c r="B341" s="3" t="s">
        <v>915</v>
      </c>
      <c r="C341" s="3" t="s">
        <v>1484</v>
      </c>
      <c r="D341" s="3" t="str">
        <f>IFERROR(MID(VLOOKUP($B341,Seqs!$A:$B,2,0),E341,1),"")</f>
        <v>E</v>
      </c>
      <c r="E341" s="3">
        <v>33</v>
      </c>
      <c r="F341" s="3" t="str">
        <f>IFERROR(MID(VLOOKUP($B341,Seqs!$A:$B,2,0),G341,1),"")</f>
        <v>Q</v>
      </c>
      <c r="G341" s="3">
        <v>64</v>
      </c>
      <c r="H341" s="3" t="str">
        <f>IFERROR(MID(VLOOKUP($B341,Seqs!$A:$B,2,0),I341,1),"")</f>
        <v>K</v>
      </c>
      <c r="I341" s="23">
        <v>66</v>
      </c>
      <c r="J341" s="3" t="str">
        <f>IFERROR(MID(VLOOKUP($B341,Seqs!$A:$B,2,0),K341,1),"")</f>
        <v>R</v>
      </c>
      <c r="K341" s="23">
        <v>69</v>
      </c>
      <c r="L341" s="3" t="str">
        <f>IFERROR(MID(VLOOKUP($B341,Seqs!$A:$B,2,0),M341,1),"")</f>
        <v>N</v>
      </c>
      <c r="M341" s="3">
        <v>73</v>
      </c>
      <c r="N341" s="3" t="str">
        <f>IFERROR(MID(VLOOKUP($B341,Seqs!$A:$B,2,0),O341,1),"")</f>
        <v>G</v>
      </c>
      <c r="O341" s="3">
        <v>101</v>
      </c>
      <c r="P341" s="3" t="str">
        <f>IFERROR(MID(VLOOKUP($B341,Seqs!$A:$B,2,0),Q341,1),"")</f>
        <v>Y</v>
      </c>
      <c r="Q341" s="3">
        <v>102</v>
      </c>
      <c r="R341" s="3" t="str">
        <f>IFERROR(MID(VLOOKUP($B341,Seqs!$A:$B,2,0),S341,1),"")</f>
        <v>F</v>
      </c>
      <c r="S341" s="3">
        <v>105</v>
      </c>
      <c r="T341" s="3" t="str">
        <f>IFERROR(MID(VLOOKUP($B341,Seqs!$A:$B,2,0),U341,1),"")</f>
        <v>G</v>
      </c>
      <c r="U341" s="3">
        <v>106</v>
      </c>
      <c r="V341" s="3" t="str">
        <f>IFERROR(MID(VLOOKUP($B341,Seqs!$A:$B,2,0),W341,1),"")</f>
        <v>K</v>
      </c>
      <c r="W341" s="3">
        <v>141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G</v>
      </c>
      <c r="AC341" s="3">
        <v>149</v>
      </c>
      <c r="AD341" s="3" t="str">
        <f>IFERROR(MID(VLOOKUP($B341,Seqs!$A:$B,2,0),AE341,1),"")</f>
        <v>V</v>
      </c>
      <c r="AE341" s="3">
        <v>173</v>
      </c>
      <c r="AF341" s="3" t="str">
        <f>IFERROR(MID(VLOOKUP($B341,Seqs!$A:$B,2,0),AG341,1),"")</f>
        <v>C</v>
      </c>
      <c r="AG341" s="3">
        <v>187</v>
      </c>
      <c r="AH341" s="3" t="str">
        <f>IFERROR(MID(VLOOKUP($B341,Seqs!$A:$B,2,0),AI341,1),"")</f>
        <v>I</v>
      </c>
      <c r="AI341" s="3">
        <v>189</v>
      </c>
      <c r="AJ341" s="3" t="str">
        <f>IFERROR(MID(VLOOKUP($B341,Seqs!$A:$B,2,0),AK341,1),"")</f>
        <v>N</v>
      </c>
      <c r="AK341" s="3">
        <v>199</v>
      </c>
      <c r="AL341" s="3" t="str">
        <f>IFERROR(MID(VLOOKUP($B341,Seqs!$A:$B,2,0),AM341,1),"")</f>
        <v>Q</v>
      </c>
      <c r="AM341" s="3">
        <v>236</v>
      </c>
      <c r="AN341" s="3" t="str">
        <f>IFERROR(MID(VLOOKUP($B341,Seqs!$A:$B,2,0),AO341,1),"")</f>
        <v>S</v>
      </c>
      <c r="AO341" s="3">
        <v>240</v>
      </c>
      <c r="AP341" s="3" t="str">
        <f>IFERROR(MID(VLOOKUP($B341,Seqs!$A:$B,2,0),AQ341,1),"")</f>
        <v>H</v>
      </c>
      <c r="AQ341" s="3">
        <v>278</v>
      </c>
      <c r="AR341" s="3" t="str">
        <f>IFERROR(MID(VLOOKUP($B341,Seqs!$A:$B,2,0),AS341,1),"")</f>
        <v>T</v>
      </c>
      <c r="AS341" s="3">
        <v>289</v>
      </c>
      <c r="AT341" s="3" t="str">
        <f>IFERROR(MID(VLOOKUP($B341,Seqs!$A:$B,2,0),AU341,1),"")</f>
        <v>M</v>
      </c>
      <c r="AU341" s="3">
        <v>309</v>
      </c>
      <c r="AV341" s="3" t="str">
        <f>IFERROR(MID(VLOOKUP($B341,Seqs!$A:$B,2,0),AW341,1),"")</f>
        <v>N</v>
      </c>
      <c r="AW341" s="3">
        <v>310</v>
      </c>
      <c r="AX341" s="3" t="str">
        <f>IFERROR(MID(VLOOKUP($B341,Seqs!$A:$B,2,0),AY341,1),"")</f>
        <v>C</v>
      </c>
      <c r="AY341" s="3">
        <v>322</v>
      </c>
      <c r="AZ341" s="77" t="str">
        <f>VLOOKUP(B341,Classification!A:D,2,0)</f>
        <v>A</v>
      </c>
      <c r="BA341" s="94" t="str">
        <f>VLOOKUP(B341,Classification!A:D,4,0)</f>
        <v>Opsins</v>
      </c>
      <c r="BB341" s="27" t="b">
        <f t="shared" si="2963"/>
        <v>1</v>
      </c>
      <c r="BC341" s="23">
        <f t="shared" si="2964"/>
        <v>245</v>
      </c>
      <c r="BD341" s="2" t="s">
        <v>23</v>
      </c>
      <c r="BE341" s="3" t="s">
        <v>1287</v>
      </c>
      <c r="BF341" s="118">
        <v>2.4900000000000002</v>
      </c>
      <c r="BG341" s="49" t="s">
        <v>1</v>
      </c>
      <c r="BH341" s="49" t="s">
        <v>1</v>
      </c>
      <c r="BI341" s="1"/>
      <c r="BJ341" s="70" t="s">
        <v>1283</v>
      </c>
      <c r="BK341" s="57" t="s">
        <v>1283</v>
      </c>
      <c r="BL341" s="57" t="s">
        <v>1283</v>
      </c>
      <c r="BM341" s="57" t="s">
        <v>1283</v>
      </c>
      <c r="BN341" s="57" t="s">
        <v>1283</v>
      </c>
      <c r="BO341" s="57" t="s">
        <v>1283</v>
      </c>
      <c r="BP341" s="57" t="s">
        <v>1283</v>
      </c>
      <c r="BQ341" s="57" t="s">
        <v>1283</v>
      </c>
      <c r="BR341" s="57" t="s">
        <v>1283</v>
      </c>
      <c r="BS341" s="57" t="s">
        <v>1283</v>
      </c>
      <c r="BT341" s="57" t="s">
        <v>1283</v>
      </c>
      <c r="BU341" s="57" t="s">
        <v>1283</v>
      </c>
      <c r="BV341" s="70">
        <f t="shared" si="2965"/>
        <v>33</v>
      </c>
      <c r="BW341" s="71">
        <f t="shared" si="2966"/>
        <v>66</v>
      </c>
      <c r="BX341" s="72">
        <f t="shared" si="2967"/>
        <v>73</v>
      </c>
      <c r="BY341" s="71">
        <f t="shared" si="2968"/>
        <v>102</v>
      </c>
      <c r="BZ341" s="72">
        <f t="shared" si="2969"/>
        <v>106</v>
      </c>
      <c r="CA341" s="71" t="str">
        <f t="shared" si="2970"/>
        <v>-</v>
      </c>
      <c r="CB341" s="72">
        <f t="shared" si="2971"/>
        <v>149</v>
      </c>
      <c r="CC341" s="71">
        <f t="shared" si="2972"/>
        <v>187</v>
      </c>
      <c r="CD341" s="72">
        <f t="shared" si="2973"/>
        <v>199</v>
      </c>
      <c r="CE341" s="71">
        <f t="shared" si="2974"/>
        <v>240</v>
      </c>
      <c r="CF341" s="72">
        <f t="shared" si="2975"/>
        <v>289</v>
      </c>
      <c r="CG341" s="71">
        <f t="shared" si="2976"/>
        <v>310</v>
      </c>
      <c r="CH341" s="70">
        <f t="shared" si="2977"/>
        <v>64</v>
      </c>
      <c r="CI341" s="71">
        <f t="shared" si="2978"/>
        <v>69</v>
      </c>
      <c r="CJ341" s="72">
        <f t="shared" si="2979"/>
        <v>101</v>
      </c>
      <c r="CK341" s="72">
        <f t="shared" si="2980"/>
        <v>105</v>
      </c>
      <c r="CL341" s="72">
        <f t="shared" si="2981"/>
        <v>141</v>
      </c>
      <c r="CM341" s="72" t="str">
        <f t="shared" si="2982"/>
        <v>-</v>
      </c>
      <c r="CN341" s="72">
        <f t="shared" si="2983"/>
        <v>173</v>
      </c>
      <c r="CO341" s="72">
        <f t="shared" si="2984"/>
        <v>189</v>
      </c>
      <c r="CP341" s="72">
        <f t="shared" si="2985"/>
        <v>236</v>
      </c>
      <c r="CQ341" s="72">
        <f t="shared" si="2986"/>
        <v>278</v>
      </c>
      <c r="CR341" s="72">
        <f t="shared" si="2987"/>
        <v>309</v>
      </c>
      <c r="CS341" s="72">
        <f t="shared" si="2988"/>
        <v>322</v>
      </c>
      <c r="CT341" s="23">
        <f t="shared" si="2989"/>
        <v>4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ref="A342" si="2990">CONCATENATE(B342,"_",C342)</f>
        <v>opsd_bovin_6FUF</v>
      </c>
      <c r="B342" s="3" t="s">
        <v>915</v>
      </c>
      <c r="C342" s="3" t="s">
        <v>1514</v>
      </c>
      <c r="D342" s="3" t="str">
        <f>IFERROR(MID(VLOOKUP($B342,Seqs!$A:$B,2,0),E342,1),"")</f>
        <v>E</v>
      </c>
      <c r="E342" s="3">
        <v>33</v>
      </c>
      <c r="F342" s="3" t="str">
        <f>IFERROR(MID(VLOOKUP($B342,Seqs!$A:$B,2,0),G342,1),"")</f>
        <v>H</v>
      </c>
      <c r="G342" s="3">
        <v>65</v>
      </c>
      <c r="H342" s="3" t="str">
        <f>IFERROR(MID(VLOOKUP($B342,Seqs!$A:$B,2,0),I342,1),"")</f>
        <v>K</v>
      </c>
      <c r="I342" s="23">
        <v>66</v>
      </c>
      <c r="J342" s="3" t="str">
        <f>IFERROR(MID(VLOOKUP($B342,Seqs!$A:$B,2,0),K342,1),"")</f>
        <v>R</v>
      </c>
      <c r="K342" s="23">
        <v>69</v>
      </c>
      <c r="L342" s="3" t="str">
        <f>IFERROR(MID(VLOOKUP($B342,Seqs!$A:$B,2,0),M342,1),"")</f>
        <v>N</v>
      </c>
      <c r="M342" s="3">
        <v>73</v>
      </c>
      <c r="N342" s="3" t="str">
        <f>IFERROR(MID(VLOOKUP($B342,Seqs!$A:$B,2,0),O342,1),"")</f>
        <v>G</v>
      </c>
      <c r="O342" s="3">
        <v>101</v>
      </c>
      <c r="P342" s="3" t="str">
        <f>IFERROR(MID(VLOOKUP($B342,Seqs!$A:$B,2,0),Q342,1),"")</f>
        <v>Y</v>
      </c>
      <c r="Q342" s="3">
        <v>102</v>
      </c>
      <c r="R342" s="3" t="str">
        <f>IFERROR(MID(VLOOKUP($B342,Seqs!$A:$B,2,0),S342,1),"")</f>
        <v>F</v>
      </c>
      <c r="S342" s="3">
        <v>105</v>
      </c>
      <c r="T342" s="3" t="str">
        <f>IFERROR(MID(VLOOKUP($B342,Seqs!$A:$B,2,0),U342,1),"")</f>
        <v>G</v>
      </c>
      <c r="U342" s="3">
        <v>106</v>
      </c>
      <c r="V342" s="3" t="str">
        <f>IFERROR(MID(VLOOKUP($B342,Seqs!$A:$B,2,0),W342,1),"")</f>
        <v>K</v>
      </c>
      <c r="W342" s="3">
        <v>141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G</v>
      </c>
      <c r="AC342" s="3">
        <v>149</v>
      </c>
      <c r="AD342" s="3" t="str">
        <f>IFERROR(MID(VLOOKUP($B342,Seqs!$A:$B,2,0),AE342,1),"")</f>
        <v>V</v>
      </c>
      <c r="AE342" s="3">
        <v>173</v>
      </c>
      <c r="AF342" s="3" t="str">
        <f>IFERROR(MID(VLOOKUP($B342,Seqs!$A:$B,2,0),AG342,1),"")</f>
        <v>C</v>
      </c>
      <c r="AG342" s="3">
        <v>187</v>
      </c>
      <c r="AH342" s="3" t="str">
        <f>IFERROR(MID(VLOOKUP($B342,Seqs!$A:$B,2,0),AI342,1),"")</f>
        <v>I</v>
      </c>
      <c r="AI342" s="3">
        <v>189</v>
      </c>
      <c r="AJ342" s="3" t="str">
        <f>IFERROR(MID(VLOOKUP($B342,Seqs!$A:$B,2,0),AK342,1),"")</f>
        <v>N</v>
      </c>
      <c r="AK342" s="3">
        <v>199</v>
      </c>
      <c r="AL342" s="3" t="str">
        <f>IFERROR(MID(VLOOKUP($B342,Seqs!$A:$B,2,0),AM342,1),"")</f>
        <v>Q</v>
      </c>
      <c r="AM342" s="3">
        <v>237</v>
      </c>
      <c r="AN342" s="3" t="str">
        <f>IFERROR(MID(VLOOKUP($B342,Seqs!$A:$B,2,0),AO342,1),"")</f>
        <v>S</v>
      </c>
      <c r="AO342" s="3">
        <v>240</v>
      </c>
      <c r="AP342" s="3" t="str">
        <f>IFERROR(MID(VLOOKUP($B342,Seqs!$A:$B,2,0),AQ342,1),"")</f>
        <v>H</v>
      </c>
      <c r="AQ342" s="3">
        <v>278</v>
      </c>
      <c r="AR342" s="3" t="str">
        <f>IFERROR(MID(VLOOKUP($B342,Seqs!$A:$B,2,0),AS342,1),"")</f>
        <v>T</v>
      </c>
      <c r="AS342" s="3">
        <v>289</v>
      </c>
      <c r="AT342" s="3" t="str">
        <f>IFERROR(MID(VLOOKUP($B342,Seqs!$A:$B,2,0),AU342,1),"")</f>
        <v>M</v>
      </c>
      <c r="AU342" s="3">
        <v>309</v>
      </c>
      <c r="AV342" s="3" t="str">
        <f>IFERROR(MID(VLOOKUP($B342,Seqs!$A:$B,2,0),AW342,1),"")</f>
        <v>N</v>
      </c>
      <c r="AW342" s="3">
        <v>310</v>
      </c>
      <c r="AX342" s="3" t="str">
        <f>IFERROR(MID(VLOOKUP($B342,Seqs!$A:$B,2,0),AY342,1),"")</f>
        <v>R</v>
      </c>
      <c r="AY342" s="3">
        <v>314</v>
      </c>
      <c r="AZ342" s="77" t="str">
        <f>VLOOKUP(B342,Classification!A:D,2,0)</f>
        <v>A</v>
      </c>
      <c r="BA342" s="94" t="str">
        <f>VLOOKUP(B342,Classification!A:D,4,0)</f>
        <v>Opsins</v>
      </c>
      <c r="BB342" s="27" t="b">
        <f t="shared" ref="BB342" si="2991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23">
        <f t="shared" ref="BC342" si="2992">_xlfn.AGGREGATE(9,6,CH342:CS342)-_xlfn.AGGREGATE(9,6,BV342:CG342)+12</f>
        <v>239</v>
      </c>
      <c r="BD342" s="2" t="s">
        <v>23</v>
      </c>
      <c r="BE342" s="3" t="s">
        <v>1287</v>
      </c>
      <c r="BF342" s="118">
        <v>3.12</v>
      </c>
      <c r="BG342" s="49" t="s">
        <v>1</v>
      </c>
      <c r="BH342" s="49" t="s">
        <v>1</v>
      </c>
      <c r="BI342" s="1"/>
      <c r="BJ342" s="70" t="s">
        <v>1283</v>
      </c>
      <c r="BK342" s="57" t="s">
        <v>1283</v>
      </c>
      <c r="BL342" s="57" t="s">
        <v>1283</v>
      </c>
      <c r="BM342" s="57" t="s">
        <v>1283</v>
      </c>
      <c r="BN342" s="57" t="s">
        <v>1283</v>
      </c>
      <c r="BO342" s="57" t="s">
        <v>1283</v>
      </c>
      <c r="BP342" s="57" t="s">
        <v>1283</v>
      </c>
      <c r="BQ342" s="57" t="s">
        <v>1283</v>
      </c>
      <c r="BR342" s="57" t="s">
        <v>1283</v>
      </c>
      <c r="BS342" s="57" t="s">
        <v>1283</v>
      </c>
      <c r="BT342" s="57" t="s">
        <v>1283</v>
      </c>
      <c r="BU342" s="57" t="s">
        <v>1283</v>
      </c>
      <c r="BV342" s="70">
        <f t="shared" ref="BV342" si="2993">E342</f>
        <v>33</v>
      </c>
      <c r="BW342" s="71">
        <f t="shared" ref="BW342" si="2994">I342</f>
        <v>66</v>
      </c>
      <c r="BX342" s="72">
        <f t="shared" ref="BX342" si="2995">M342</f>
        <v>73</v>
      </c>
      <c r="BY342" s="71">
        <f t="shared" ref="BY342" si="2996">Q342</f>
        <v>102</v>
      </c>
      <c r="BZ342" s="72">
        <f t="shared" ref="BZ342" si="2997">U342</f>
        <v>106</v>
      </c>
      <c r="CA342" s="71" t="str">
        <f t="shared" ref="CA342" si="2998">Y342</f>
        <v>-</v>
      </c>
      <c r="CB342" s="72">
        <f t="shared" ref="CB342" si="2999">AC342</f>
        <v>149</v>
      </c>
      <c r="CC342" s="71">
        <f t="shared" ref="CC342" si="3000">AG342</f>
        <v>187</v>
      </c>
      <c r="CD342" s="72">
        <f t="shared" ref="CD342" si="3001">AK342</f>
        <v>199</v>
      </c>
      <c r="CE342" s="71">
        <f t="shared" ref="CE342" si="3002">AO342</f>
        <v>240</v>
      </c>
      <c r="CF342" s="72">
        <f t="shared" ref="CF342" si="3003">AS342</f>
        <v>289</v>
      </c>
      <c r="CG342" s="71">
        <f t="shared" ref="CG342" si="3004">AW342</f>
        <v>310</v>
      </c>
      <c r="CH342" s="70">
        <f t="shared" ref="CH342" si="3005">G342</f>
        <v>65</v>
      </c>
      <c r="CI342" s="71">
        <f t="shared" ref="CI342" si="3006">K342</f>
        <v>69</v>
      </c>
      <c r="CJ342" s="72">
        <f t="shared" ref="CJ342" si="3007">O342</f>
        <v>101</v>
      </c>
      <c r="CK342" s="72">
        <f t="shared" ref="CK342" si="3008">S342</f>
        <v>105</v>
      </c>
      <c r="CL342" s="72">
        <f t="shared" ref="CL342" si="3009">W342</f>
        <v>141</v>
      </c>
      <c r="CM342" s="72" t="str">
        <f t="shared" ref="CM342" si="3010">AA342</f>
        <v>-</v>
      </c>
      <c r="CN342" s="72">
        <f t="shared" ref="CN342" si="3011">AE342</f>
        <v>173</v>
      </c>
      <c r="CO342" s="72">
        <f t="shared" ref="CO342" si="3012">AI342</f>
        <v>189</v>
      </c>
      <c r="CP342" s="72">
        <f t="shared" ref="CP342" si="3013">AM342</f>
        <v>237</v>
      </c>
      <c r="CQ342" s="72">
        <f t="shared" ref="CQ342" si="3014">AQ342</f>
        <v>278</v>
      </c>
      <c r="CR342" s="72">
        <f t="shared" ref="CR342" si="3015">AU342</f>
        <v>309</v>
      </c>
      <c r="CS342" s="72">
        <f t="shared" ref="CS342" si="3016">AY342</f>
        <v>314</v>
      </c>
      <c r="CT342" s="23">
        <f t="shared" ref="CT342" si="3017">M342-K342</f>
        <v>4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ref="A343" si="3018">CONCATENATE(B343,"_",C343)</f>
        <v>opsd_bovin_6QNO</v>
      </c>
      <c r="B343" s="3" t="s">
        <v>915</v>
      </c>
      <c r="C343" s="3" t="s">
        <v>1581</v>
      </c>
      <c r="D343" s="3" t="str">
        <f>IFERROR(MID(VLOOKUP($B343,Seqs!$A:$B,2,0),E343,1),"")</f>
        <v>E</v>
      </c>
      <c r="E343" s="3">
        <v>33</v>
      </c>
      <c r="F343" s="3" t="str">
        <f>IFERROR(MID(VLOOKUP($B343,Seqs!$A:$B,2,0),G343,1),"")</f>
        <v>H</v>
      </c>
      <c r="G343" s="3">
        <v>65</v>
      </c>
      <c r="H343" s="3" t="str">
        <f>IFERROR(MID(VLOOKUP($B343,Seqs!$A:$B,2,0),I343,1),"")</f>
        <v>K</v>
      </c>
      <c r="I343" s="23">
        <v>66</v>
      </c>
      <c r="J343" s="3" t="str">
        <f>IFERROR(MID(VLOOKUP($B343,Seqs!$A:$B,2,0),K343,1),"")</f>
        <v>R</v>
      </c>
      <c r="K343" s="23">
        <v>69</v>
      </c>
      <c r="L343" s="3" t="str">
        <f>IFERROR(MID(VLOOKUP($B343,Seqs!$A:$B,2,0),M343,1),"")</f>
        <v>N</v>
      </c>
      <c r="M343" s="3">
        <v>73</v>
      </c>
      <c r="N343" s="3" t="str">
        <f>IFERROR(MID(VLOOKUP($B343,Seqs!$A:$B,2,0),O343,1),"")</f>
        <v>H</v>
      </c>
      <c r="O343" s="3">
        <v>100</v>
      </c>
      <c r="P343" s="3" t="str">
        <f>IFERROR(MID(VLOOKUP($B343,Seqs!$A:$B,2,0),Q343,1),"")</f>
        <v>Y</v>
      </c>
      <c r="Q343" s="3">
        <v>102</v>
      </c>
      <c r="R343" s="3" t="str">
        <f>IFERROR(MID(VLOOKUP($B343,Seqs!$A:$B,2,0),S343,1),"")</f>
        <v>F</v>
      </c>
      <c r="S343" s="3">
        <v>105</v>
      </c>
      <c r="T343" s="3" t="str">
        <f>IFERROR(MID(VLOOKUP($B343,Seqs!$A:$B,2,0),U343,1),"")</f>
        <v>G</v>
      </c>
      <c r="U343" s="3">
        <v>106</v>
      </c>
      <c r="V343" s="3" t="str">
        <f>IFERROR(MID(VLOOKUP($B343,Seqs!$A:$B,2,0),W343,1),"")</f>
        <v>K</v>
      </c>
      <c r="W343" s="3">
        <v>141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E</v>
      </c>
      <c r="AC343" s="3">
        <v>150</v>
      </c>
      <c r="AD343" s="3" t="str">
        <f>IFERROR(MID(VLOOKUP($B343,Seqs!$A:$B,2,0),AE343,1),"")</f>
        <v>V</v>
      </c>
      <c r="AE343" s="3">
        <v>173</v>
      </c>
      <c r="AF343" s="3" t="str">
        <f>IFERROR(MID(VLOOKUP($B343,Seqs!$A:$B,2,0),AG343,1),"")</f>
        <v>C</v>
      </c>
      <c r="AG343" s="3">
        <v>187</v>
      </c>
      <c r="AH343" s="3" t="str">
        <f>IFERROR(MID(VLOOKUP($B343,Seqs!$A:$B,2,0),AI343,1),"")</f>
        <v>I</v>
      </c>
      <c r="AI343" s="3">
        <v>189</v>
      </c>
      <c r="AJ343" s="3" t="str">
        <f>IFERROR(MID(VLOOKUP($B343,Seqs!$A:$B,2,0),AK343,1),"")</f>
        <v>N</v>
      </c>
      <c r="AK343" s="3">
        <v>200</v>
      </c>
      <c r="AL343" s="3" t="str">
        <f>IFERROR(MID(VLOOKUP($B343,Seqs!$A:$B,2,0),AM343,1),"")</f>
        <v>Q</v>
      </c>
      <c r="AM343" s="3">
        <v>237</v>
      </c>
      <c r="AN343" s="3" t="str">
        <f>IFERROR(MID(VLOOKUP($B343,Seqs!$A:$B,2,0),AO343,1),"")</f>
        <v>S</v>
      </c>
      <c r="AO343" s="3">
        <v>240</v>
      </c>
      <c r="AP343" s="3" t="str">
        <f>IFERROR(MID(VLOOKUP($B343,Seqs!$A:$B,2,0),AQ343,1),"")</f>
        <v>H</v>
      </c>
      <c r="AQ343" s="3">
        <v>278</v>
      </c>
      <c r="AR343" s="3" t="str">
        <f>IFERROR(MID(VLOOKUP($B343,Seqs!$A:$B,2,0),AS343,1),"")</f>
        <v>G</v>
      </c>
      <c r="AS343" s="3">
        <v>284</v>
      </c>
      <c r="AT343" s="3" t="str">
        <f>IFERROR(MID(VLOOKUP($B343,Seqs!$A:$B,2,0),AU343,1),"")</f>
        <v>M</v>
      </c>
      <c r="AU343" s="3">
        <v>309</v>
      </c>
      <c r="AV343" s="3" t="str">
        <f>IFERROR(MID(VLOOKUP($B343,Seqs!$A:$B,2,0),AW343,1),"")</f>
        <v>N</v>
      </c>
      <c r="AW343" s="3">
        <v>310</v>
      </c>
      <c r="AX343" s="3" t="str">
        <f>IFERROR(MID(VLOOKUP($B343,Seqs!$A:$B,2,0),AY343,1),"")</f>
        <v>C</v>
      </c>
      <c r="AY343" s="3">
        <v>322</v>
      </c>
      <c r="AZ343" s="77" t="str">
        <f>VLOOKUP(B343,Classification!A:D,2,0)</f>
        <v>A</v>
      </c>
      <c r="BA343" s="94" t="str">
        <f>VLOOKUP(B343,Classification!A:D,4,0)</f>
        <v>Opsins</v>
      </c>
      <c r="BB343" s="27" t="b">
        <f t="shared" ref="BB343" si="3019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23">
        <f t="shared" ref="BC343" si="3020">_xlfn.AGGREGATE(9,6,CH343:CS343)-_xlfn.AGGREGATE(9,6,BV343:CG343)+12</f>
        <v>249</v>
      </c>
      <c r="BD343" s="2" t="s">
        <v>23</v>
      </c>
      <c r="BE343" s="3" t="s">
        <v>1287</v>
      </c>
      <c r="BF343" s="118">
        <v>4.38</v>
      </c>
      <c r="BG343" s="49" t="s">
        <v>1418</v>
      </c>
      <c r="BH343" s="49" t="s">
        <v>1418</v>
      </c>
      <c r="BI343" s="1"/>
      <c r="BJ343" s="70" t="s">
        <v>1283</v>
      </c>
      <c r="BK343" s="57" t="s">
        <v>1283</v>
      </c>
      <c r="BL343" s="57" t="s">
        <v>1283</v>
      </c>
      <c r="BM343" s="57" t="s">
        <v>1283</v>
      </c>
      <c r="BN343" s="57" t="s">
        <v>1283</v>
      </c>
      <c r="BO343" s="57" t="s">
        <v>1283</v>
      </c>
      <c r="BP343" s="57" t="s">
        <v>1283</v>
      </c>
      <c r="BQ343" s="57" t="s">
        <v>1283</v>
      </c>
      <c r="BR343" s="57" t="s">
        <v>1283</v>
      </c>
      <c r="BS343" s="57" t="s">
        <v>1283</v>
      </c>
      <c r="BT343" s="57" t="s">
        <v>1283</v>
      </c>
      <c r="BU343" s="57" t="s">
        <v>1283</v>
      </c>
      <c r="BV343" s="70">
        <f t="shared" ref="BV343" si="3021">E343</f>
        <v>33</v>
      </c>
      <c r="BW343" s="71">
        <f t="shared" ref="BW343" si="3022">I343</f>
        <v>66</v>
      </c>
      <c r="BX343" s="72">
        <f t="shared" ref="BX343" si="3023">M343</f>
        <v>73</v>
      </c>
      <c r="BY343" s="71">
        <f t="shared" ref="BY343" si="3024">Q343</f>
        <v>102</v>
      </c>
      <c r="BZ343" s="72">
        <f t="shared" ref="BZ343" si="3025">U343</f>
        <v>106</v>
      </c>
      <c r="CA343" s="71" t="str">
        <f t="shared" ref="CA343" si="3026">Y343</f>
        <v>-</v>
      </c>
      <c r="CB343" s="72">
        <f t="shared" ref="CB343" si="3027">AC343</f>
        <v>150</v>
      </c>
      <c r="CC343" s="71">
        <f t="shared" ref="CC343" si="3028">AG343</f>
        <v>187</v>
      </c>
      <c r="CD343" s="72">
        <f t="shared" ref="CD343" si="3029">AK343</f>
        <v>200</v>
      </c>
      <c r="CE343" s="71">
        <f t="shared" ref="CE343" si="3030">AO343</f>
        <v>240</v>
      </c>
      <c r="CF343" s="72">
        <f t="shared" ref="CF343" si="3031">AS343</f>
        <v>284</v>
      </c>
      <c r="CG343" s="71">
        <f t="shared" ref="CG343" si="3032">AW343</f>
        <v>310</v>
      </c>
      <c r="CH343" s="70">
        <f t="shared" ref="CH343" si="3033">G343</f>
        <v>65</v>
      </c>
      <c r="CI343" s="71">
        <f t="shared" ref="CI343" si="3034">K343</f>
        <v>69</v>
      </c>
      <c r="CJ343" s="72">
        <f t="shared" ref="CJ343" si="3035">O343</f>
        <v>100</v>
      </c>
      <c r="CK343" s="72">
        <f t="shared" ref="CK343" si="3036">S343</f>
        <v>105</v>
      </c>
      <c r="CL343" s="72">
        <f t="shared" ref="CL343" si="3037">W343</f>
        <v>141</v>
      </c>
      <c r="CM343" s="72" t="str">
        <f t="shared" ref="CM343" si="3038">AA343</f>
        <v>-</v>
      </c>
      <c r="CN343" s="72">
        <f t="shared" ref="CN343" si="3039">AE343</f>
        <v>173</v>
      </c>
      <c r="CO343" s="72">
        <f t="shared" ref="CO343" si="3040">AI343</f>
        <v>189</v>
      </c>
      <c r="CP343" s="72">
        <f t="shared" ref="CP343" si="3041">AM343</f>
        <v>237</v>
      </c>
      <c r="CQ343" s="72">
        <f t="shared" ref="CQ343" si="3042">AQ343</f>
        <v>278</v>
      </c>
      <c r="CR343" s="72">
        <f t="shared" ref="CR343" si="3043">AU343</f>
        <v>309</v>
      </c>
      <c r="CS343" s="72">
        <f t="shared" ref="CS343" si="3044">AY343</f>
        <v>322</v>
      </c>
      <c r="CT343" s="23">
        <f t="shared" ref="CT343" si="3045">M343-K343</f>
        <v>4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ref="A344" si="3046">CONCATENATE(B344,"_",C344)</f>
        <v>opsd_bovin_6OY9</v>
      </c>
      <c r="B344" s="3" t="s">
        <v>915</v>
      </c>
      <c r="C344" s="3" t="s">
        <v>1583</v>
      </c>
      <c r="D344" s="3" t="str">
        <f>IFERROR(MID(VLOOKUP($B344,Seqs!$A:$B,2,0),E344,1),"")</f>
        <v>E</v>
      </c>
      <c r="E344" s="3">
        <v>33</v>
      </c>
      <c r="F344" s="3" t="str">
        <f>IFERROR(MID(VLOOKUP($B344,Seqs!$A:$B,2,0),G344,1),"")</f>
        <v>Q</v>
      </c>
      <c r="G344" s="3">
        <v>64</v>
      </c>
      <c r="H344" s="3" t="str">
        <f>IFERROR(MID(VLOOKUP($B344,Seqs!$A:$B,2,0),I344,1),"")</f>
        <v/>
      </c>
      <c r="I344" s="23" t="s">
        <v>23</v>
      </c>
      <c r="J344" s="3" t="str">
        <f>IFERROR(MID(VLOOKUP($B344,Seqs!$A:$B,2,0),K344,1),"")</f>
        <v/>
      </c>
      <c r="K344" s="23" t="s">
        <v>23</v>
      </c>
      <c r="L344" s="3" t="str">
        <f>IFERROR(MID(VLOOKUP($B344,Seqs!$A:$B,2,0),M344,1),"")</f>
        <v>N</v>
      </c>
      <c r="M344" s="3">
        <v>73</v>
      </c>
      <c r="N344" s="3" t="str">
        <f>IFERROR(MID(VLOOKUP($B344,Seqs!$A:$B,2,0),O344,1),"")</f>
        <v>H</v>
      </c>
      <c r="O344" s="3">
        <v>100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C</v>
      </c>
      <c r="W344" s="3">
        <v>140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E</v>
      </c>
      <c r="AC344" s="3">
        <v>150</v>
      </c>
      <c r="AD344" s="3" t="str">
        <f>IFERROR(MID(VLOOKUP($B344,Seqs!$A:$B,2,0),AE344,1),"")</f>
        <v>L</v>
      </c>
      <c r="AE344" s="3">
        <v>172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Q</v>
      </c>
      <c r="AM344" s="3">
        <v>236</v>
      </c>
      <c r="AN344" s="3" t="str">
        <f>IFERROR(MID(VLOOKUP($B344,Seqs!$A:$B,2,0),AO344,1),"")</f>
        <v>S</v>
      </c>
      <c r="AO344" s="3">
        <v>240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309</v>
      </c>
      <c r="AV344" s="3" t="str">
        <f>IFERROR(MID(VLOOKUP($B344,Seqs!$A:$B,2,0),AW344,1),"")</f>
        <v>F</v>
      </c>
      <c r="AW344" s="3">
        <v>313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ref="BB344" si="3047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 t="shared" ref="BC344" si="3048">_xlfn.AGGREGATE(9,6,CH344:CS344)-_xlfn.AGGREGATE(9,6,BV344:CG344)+12</f>
        <v>240</v>
      </c>
      <c r="BD344" s="2" t="s">
        <v>23</v>
      </c>
      <c r="BE344" s="3" t="s">
        <v>1287</v>
      </c>
      <c r="BF344" s="118">
        <v>3.9</v>
      </c>
      <c r="BG344" s="49" t="s">
        <v>1418</v>
      </c>
      <c r="BH344" s="49" t="s">
        <v>1418</v>
      </c>
      <c r="BI344" s="1"/>
      <c r="BJ344" s="70" t="s">
        <v>1283</v>
      </c>
      <c r="BK344" s="57" t="s">
        <v>1283</v>
      </c>
      <c r="BL344" s="57" t="s">
        <v>1283</v>
      </c>
      <c r="BM344" s="57" t="s">
        <v>1283</v>
      </c>
      <c r="BN344" s="57" t="s">
        <v>1283</v>
      </c>
      <c r="BO344" s="57" t="s">
        <v>1283</v>
      </c>
      <c r="BP344" s="57" t="s">
        <v>1283</v>
      </c>
      <c r="BQ344" s="57" t="s">
        <v>1283</v>
      </c>
      <c r="BR344" s="57" t="s">
        <v>1283</v>
      </c>
      <c r="BS344" s="57" t="s">
        <v>1283</v>
      </c>
      <c r="BT344" s="57" t="s">
        <v>1283</v>
      </c>
      <c r="BU344" s="57" t="s">
        <v>1283</v>
      </c>
      <c r="BV344" s="70">
        <f t="shared" ref="BV344" si="3049">E344</f>
        <v>33</v>
      </c>
      <c r="BW344" s="71" t="str">
        <f t="shared" ref="BW344" si="3050">I344</f>
        <v>-</v>
      </c>
      <c r="BX344" s="72">
        <f t="shared" ref="BX344" si="3051">M344</f>
        <v>73</v>
      </c>
      <c r="BY344" s="71">
        <f t="shared" ref="BY344" si="3052">Q344</f>
        <v>102</v>
      </c>
      <c r="BZ344" s="72">
        <f t="shared" ref="BZ344" si="3053">U344</f>
        <v>106</v>
      </c>
      <c r="CA344" s="71" t="str">
        <f t="shared" ref="CA344" si="3054">Y344</f>
        <v>-</v>
      </c>
      <c r="CB344" s="72">
        <f t="shared" ref="CB344" si="3055">AC344</f>
        <v>150</v>
      </c>
      <c r="CC344" s="71">
        <f t="shared" ref="CC344" si="3056">AG344</f>
        <v>187</v>
      </c>
      <c r="CD344" s="72">
        <f t="shared" ref="CD344" si="3057">AK344</f>
        <v>199</v>
      </c>
      <c r="CE344" s="71">
        <f t="shared" ref="CE344" si="3058">AO344</f>
        <v>240</v>
      </c>
      <c r="CF344" s="72">
        <f t="shared" ref="CF344" si="3059">AS344</f>
        <v>284</v>
      </c>
      <c r="CG344" s="71">
        <f t="shared" ref="CG344" si="3060">AW344</f>
        <v>313</v>
      </c>
      <c r="CH344" s="70">
        <f t="shared" ref="CH344" si="3061">G344</f>
        <v>64</v>
      </c>
      <c r="CI344" s="71" t="str">
        <f t="shared" ref="CI344" si="3062">K344</f>
        <v>-</v>
      </c>
      <c r="CJ344" s="72">
        <f t="shared" ref="CJ344" si="3063">O344</f>
        <v>100</v>
      </c>
      <c r="CK344" s="72">
        <f t="shared" ref="CK344" si="3064">S344</f>
        <v>105</v>
      </c>
      <c r="CL344" s="72">
        <f t="shared" ref="CL344" si="3065">W344</f>
        <v>140</v>
      </c>
      <c r="CM344" s="72" t="str">
        <f t="shared" ref="CM344" si="3066">AA344</f>
        <v>-</v>
      </c>
      <c r="CN344" s="72">
        <f t="shared" ref="CN344" si="3067">AE344</f>
        <v>172</v>
      </c>
      <c r="CO344" s="72">
        <f t="shared" ref="CO344" si="3068">AI344</f>
        <v>189</v>
      </c>
      <c r="CP344" s="72">
        <f t="shared" ref="CP344" si="3069">AM344</f>
        <v>236</v>
      </c>
      <c r="CQ344" s="72">
        <f t="shared" ref="CQ344" si="3070">AQ344</f>
        <v>278</v>
      </c>
      <c r="CR344" s="72">
        <f t="shared" ref="CR344" si="3071">AU344</f>
        <v>309</v>
      </c>
      <c r="CS344" s="72">
        <f t="shared" ref="CS344" si="3072">AY344</f>
        <v>322</v>
      </c>
      <c r="CT344" s="23" t="e">
        <f t="shared" ref="CT344" si="3073">M344-K344</f>
        <v>#VALUE!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ref="A345" si="3074">CONCATENATE(B345,"_",C345)</f>
        <v>opsd_bovin_6OYA</v>
      </c>
      <c r="B345" s="3" t="s">
        <v>915</v>
      </c>
      <c r="C345" s="3" t="s">
        <v>1584</v>
      </c>
      <c r="D345" s="3" t="str">
        <f>IFERROR(MID(VLOOKUP($B345,Seqs!$A:$B,2,0),E345,1),"")</f>
        <v>E</v>
      </c>
      <c r="E345" s="3">
        <v>33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>K</v>
      </c>
      <c r="I345" s="23">
        <v>66</v>
      </c>
      <c r="J345" s="3" t="str">
        <f>IFERROR(MID(VLOOKUP($B345,Seqs!$A:$B,2,0),K345,1),"")</f>
        <v>R</v>
      </c>
      <c r="K345" s="23">
        <v>69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G</v>
      </c>
      <c r="O345" s="3">
        <v>101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C</v>
      </c>
      <c r="W345" s="3">
        <v>140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G</v>
      </c>
      <c r="AC345" s="3">
        <v>149</v>
      </c>
      <c r="AD345" s="3" t="str">
        <f>IFERROR(MID(VLOOKUP($B345,Seqs!$A:$B,2,0),AE345,1),"")</f>
        <v>G</v>
      </c>
      <c r="AE345" s="3">
        <v>174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N</v>
      </c>
      <c r="AK345" s="3">
        <v>199</v>
      </c>
      <c r="AL345" s="3" t="str">
        <f>IFERROR(MID(VLOOKUP($B345,Seqs!$A:$B,2,0),AM345,1),"")</f>
        <v>A</v>
      </c>
      <c r="AM345" s="3">
        <v>235</v>
      </c>
      <c r="AN345" s="3" t="str">
        <f>IFERROR(MID(VLOOKUP($B345,Seqs!$A:$B,2,0),AO345,1),"")</f>
        <v>T</v>
      </c>
      <c r="AO345" s="3">
        <v>243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G</v>
      </c>
      <c r="AS345" s="3">
        <v>284</v>
      </c>
      <c r="AT345" s="3" t="str">
        <f>IFERROR(MID(VLOOKUP($B345,Seqs!$A:$B,2,0),AU345,1),"")</f>
        <v>M</v>
      </c>
      <c r="AU345" s="3">
        <v>308</v>
      </c>
      <c r="AV345" s="3" t="str">
        <f>IFERROR(MID(VLOOKUP($B345,Seqs!$A:$B,2,0),AW345,1),"")</f>
        <v>F</v>
      </c>
      <c r="AW345" s="3">
        <v>313</v>
      </c>
      <c r="AX345" s="3" t="str">
        <f>IFERROR(MID(VLOOKUP($B345,Seqs!$A:$B,2,0),AY345,1),"")</f>
        <v>C</v>
      </c>
      <c r="AY345" s="3">
        <v>322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ref="BB345" si="3075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 t="shared" ref="BC345" si="3076">_xlfn.AGGREGATE(9,6,CH345:CS345)-_xlfn.AGGREGATE(9,6,BV345:CG345)+12</f>
        <v>246</v>
      </c>
      <c r="BD345" s="2" t="s">
        <v>23</v>
      </c>
      <c r="BE345" s="3" t="s">
        <v>1287</v>
      </c>
      <c r="BF345" s="118">
        <v>3.3</v>
      </c>
      <c r="BG345" s="49" t="s">
        <v>1418</v>
      </c>
      <c r="BH345" s="49" t="s">
        <v>1418</v>
      </c>
      <c r="BI345" s="1"/>
      <c r="BJ345" s="70" t="s">
        <v>1283</v>
      </c>
      <c r="BK345" s="57" t="s">
        <v>1283</v>
      </c>
      <c r="BL345" s="57" t="s">
        <v>1283</v>
      </c>
      <c r="BM345" s="57" t="s">
        <v>1283</v>
      </c>
      <c r="BN345" s="57" t="s">
        <v>1283</v>
      </c>
      <c r="BO345" s="57" t="s">
        <v>1283</v>
      </c>
      <c r="BP345" s="57" t="s">
        <v>1283</v>
      </c>
      <c r="BQ345" s="57" t="s">
        <v>1283</v>
      </c>
      <c r="BR345" s="57" t="s">
        <v>1283</v>
      </c>
      <c r="BS345" s="57" t="s">
        <v>1283</v>
      </c>
      <c r="BT345" s="57" t="s">
        <v>1283</v>
      </c>
      <c r="BU345" s="57" t="s">
        <v>1283</v>
      </c>
      <c r="BV345" s="70">
        <f t="shared" ref="BV345" si="3077">E345</f>
        <v>33</v>
      </c>
      <c r="BW345" s="71">
        <f t="shared" ref="BW345" si="3078">I345</f>
        <v>66</v>
      </c>
      <c r="BX345" s="72">
        <f t="shared" ref="BX345" si="3079">M345</f>
        <v>70</v>
      </c>
      <c r="BY345" s="71">
        <f t="shared" ref="BY345" si="3080">Q345</f>
        <v>102</v>
      </c>
      <c r="BZ345" s="72">
        <f t="shared" ref="BZ345" si="3081">U345</f>
        <v>106</v>
      </c>
      <c r="CA345" s="71" t="str">
        <f t="shared" ref="CA345" si="3082">Y345</f>
        <v>-</v>
      </c>
      <c r="CB345" s="72">
        <f t="shared" ref="CB345" si="3083">AC345</f>
        <v>149</v>
      </c>
      <c r="CC345" s="71">
        <f t="shared" ref="CC345" si="3084">AG345</f>
        <v>187</v>
      </c>
      <c r="CD345" s="72">
        <f t="shared" ref="CD345" si="3085">AK345</f>
        <v>199</v>
      </c>
      <c r="CE345" s="71">
        <f t="shared" ref="CE345" si="3086">AO345</f>
        <v>243</v>
      </c>
      <c r="CF345" s="72">
        <f t="shared" ref="CF345" si="3087">AS345</f>
        <v>284</v>
      </c>
      <c r="CG345" s="71">
        <f t="shared" ref="CG345" si="3088">AW345</f>
        <v>313</v>
      </c>
      <c r="CH345" s="70">
        <f t="shared" ref="CH345" si="3089">G345</f>
        <v>65</v>
      </c>
      <c r="CI345" s="71">
        <f t="shared" ref="CI345" si="3090">K345</f>
        <v>69</v>
      </c>
      <c r="CJ345" s="72">
        <f t="shared" ref="CJ345" si="3091">O345</f>
        <v>101</v>
      </c>
      <c r="CK345" s="72">
        <f t="shared" ref="CK345" si="3092">S345</f>
        <v>105</v>
      </c>
      <c r="CL345" s="72">
        <f t="shared" ref="CL345" si="3093">W345</f>
        <v>140</v>
      </c>
      <c r="CM345" s="72" t="str">
        <f t="shared" ref="CM345" si="3094">AA345</f>
        <v>-</v>
      </c>
      <c r="CN345" s="72">
        <f t="shared" ref="CN345" si="3095">AE345</f>
        <v>174</v>
      </c>
      <c r="CO345" s="72">
        <f t="shared" ref="CO345" si="3096">AI345</f>
        <v>189</v>
      </c>
      <c r="CP345" s="72">
        <f t="shared" ref="CP345" si="3097">AM345</f>
        <v>235</v>
      </c>
      <c r="CQ345" s="72">
        <f t="shared" ref="CQ345" si="3098">AQ345</f>
        <v>278</v>
      </c>
      <c r="CR345" s="72">
        <f t="shared" ref="CR345" si="3099">AU345</f>
        <v>308</v>
      </c>
      <c r="CS345" s="72">
        <f t="shared" ref="CS345" si="3100">AY345</f>
        <v>322</v>
      </c>
      <c r="CT345" s="23">
        <f t="shared" ref="CT345" si="3101">M345-K345</f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ref="A346" si="3102">CONCATENATE(B346,"_",C346)</f>
        <v>opsd_bovin_6OFJ</v>
      </c>
      <c r="B346" s="3" t="s">
        <v>915</v>
      </c>
      <c r="C346" s="3" t="s">
        <v>1587</v>
      </c>
      <c r="D346" s="3" t="str">
        <f>IFERROR(MID(VLOOKUP($B346,Seqs!$A:$B,2,0),E346,1),"")</f>
        <v>P</v>
      </c>
      <c r="E346" s="3">
        <v>34</v>
      </c>
      <c r="F346" s="3" t="str">
        <f>IFERROR(MID(VLOOKUP($B346,Seqs!$A:$B,2,0),G346,1),"")</f>
        <v>H</v>
      </c>
      <c r="G346" s="3">
        <v>65</v>
      </c>
      <c r="H346" s="3" t="str">
        <f>IFERROR(MID(VLOOKUP($B346,Seqs!$A:$B,2,0),I346,1),"")</f>
        <v/>
      </c>
      <c r="I346" s="23" t="s">
        <v>23</v>
      </c>
      <c r="J346" s="3" t="str">
        <f>IFERROR(MID(VLOOKUP($B346,Seqs!$A:$B,2,0),K346,1),"")</f>
        <v/>
      </c>
      <c r="K346" s="23" t="s">
        <v>23</v>
      </c>
      <c r="L346" s="3" t="str">
        <f>IFERROR(MID(VLOOKUP($B346,Seqs!$A:$B,2,0),M346,1),"")</f>
        <v>T</v>
      </c>
      <c r="M346" s="3">
        <v>70</v>
      </c>
      <c r="N346" s="3" t="str">
        <f>IFERROR(MID(VLOOKUP($B346,Seqs!$A:$B,2,0),O346,1),"")</f>
        <v>G</v>
      </c>
      <c r="O346" s="3">
        <v>101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A</v>
      </c>
      <c r="AC346" s="3">
        <v>153</v>
      </c>
      <c r="AD346" s="3" t="str">
        <f>IFERROR(MID(VLOOKUP($B346,Seqs!$A:$B,2,0),AE346,1),"")</f>
        <v>V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N</v>
      </c>
      <c r="AK346" s="3">
        <v>200</v>
      </c>
      <c r="AL346" s="3" t="str">
        <f>IFERROR(MID(VLOOKUP($B346,Seqs!$A:$B,2,0),AM346,1),"")</f>
        <v>L</v>
      </c>
      <c r="AM346" s="3">
        <v>226</v>
      </c>
      <c r="AN346" s="3" t="str">
        <f>IFERROR(MID(VLOOKUP($B346,Seqs!$A:$B,2,0),AO346,1),"")</f>
        <v>A</v>
      </c>
      <c r="AO346" s="3">
        <v>241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M</v>
      </c>
      <c r="AS346" s="3">
        <v>288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T</v>
      </c>
      <c r="AY346" s="3">
        <v>320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ref="BB346" si="3103"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 t="shared" ref="BC346" si="3104">_xlfn.AGGREGATE(9,6,CH346:CS346)-_xlfn.AGGREGATE(9,6,BV346:CG346)+12</f>
        <v>228</v>
      </c>
      <c r="BD346" s="2" t="s">
        <v>1425</v>
      </c>
      <c r="BE346" s="3" t="s">
        <v>1424</v>
      </c>
      <c r="BF346" s="118">
        <v>4.5</v>
      </c>
      <c r="BG346" s="49" t="s">
        <v>1</v>
      </c>
      <c r="BH346" s="49" t="s">
        <v>1</v>
      </c>
      <c r="BI346" s="1"/>
      <c r="BJ346" s="70" t="s">
        <v>1283</v>
      </c>
      <c r="BK346" s="57" t="s">
        <v>1283</v>
      </c>
      <c r="BL346" s="57" t="s">
        <v>1283</v>
      </c>
      <c r="BM346" s="57" t="s">
        <v>1283</v>
      </c>
      <c r="BN346" s="57" t="s">
        <v>1283</v>
      </c>
      <c r="BO346" s="57" t="s">
        <v>1283</v>
      </c>
      <c r="BP346" s="57" t="s">
        <v>1283</v>
      </c>
      <c r="BQ346" s="57" t="s">
        <v>1283</v>
      </c>
      <c r="BR346" s="57" t="s">
        <v>1283</v>
      </c>
      <c r="BS346" s="57" t="s">
        <v>1283</v>
      </c>
      <c r="BT346" s="57" t="s">
        <v>1283</v>
      </c>
      <c r="BU346" s="57" t="s">
        <v>1283</v>
      </c>
      <c r="BV346" s="70">
        <f t="shared" ref="BV346" si="3105">E346</f>
        <v>34</v>
      </c>
      <c r="BW346" s="71" t="str">
        <f t="shared" ref="BW346" si="3106">I346</f>
        <v>-</v>
      </c>
      <c r="BX346" s="72">
        <f t="shared" ref="BX346" si="3107">M346</f>
        <v>70</v>
      </c>
      <c r="BY346" s="71">
        <f t="shared" ref="BY346" si="3108">Q346</f>
        <v>102</v>
      </c>
      <c r="BZ346" s="72">
        <f t="shared" ref="BZ346" si="3109">U346</f>
        <v>106</v>
      </c>
      <c r="CA346" s="71" t="str">
        <f t="shared" ref="CA346" si="3110">Y346</f>
        <v>-</v>
      </c>
      <c r="CB346" s="72">
        <f t="shared" ref="CB346" si="3111">AC346</f>
        <v>153</v>
      </c>
      <c r="CC346" s="71">
        <f t="shared" ref="CC346" si="3112">AG346</f>
        <v>187</v>
      </c>
      <c r="CD346" s="72">
        <f t="shared" ref="CD346" si="3113">AK346</f>
        <v>200</v>
      </c>
      <c r="CE346" s="71">
        <f t="shared" ref="CE346" si="3114">AO346</f>
        <v>241</v>
      </c>
      <c r="CF346" s="72">
        <f t="shared" ref="CF346" si="3115">AS346</f>
        <v>288</v>
      </c>
      <c r="CG346" s="71">
        <f t="shared" ref="CG346" si="3116">AW346</f>
        <v>310</v>
      </c>
      <c r="CH346" s="70">
        <f t="shared" ref="CH346" si="3117">G346</f>
        <v>65</v>
      </c>
      <c r="CI346" s="71" t="str">
        <f t="shared" ref="CI346" si="3118">K346</f>
        <v>-</v>
      </c>
      <c r="CJ346" s="72">
        <f t="shared" ref="CJ346" si="3119">O346</f>
        <v>101</v>
      </c>
      <c r="CK346" s="72">
        <f t="shared" ref="CK346" si="3120">S346</f>
        <v>105</v>
      </c>
      <c r="CL346" s="72">
        <f t="shared" ref="CL346" si="3121">W346</f>
        <v>141</v>
      </c>
      <c r="CM346" s="72" t="str">
        <f t="shared" ref="CM346" si="3122">AA346</f>
        <v>-</v>
      </c>
      <c r="CN346" s="72">
        <f t="shared" ref="CN346" si="3123">AE346</f>
        <v>173</v>
      </c>
      <c r="CO346" s="72">
        <f t="shared" ref="CO346" si="3124">AI346</f>
        <v>189</v>
      </c>
      <c r="CP346" s="72">
        <f t="shared" ref="CP346" si="3125">AM346</f>
        <v>226</v>
      </c>
      <c r="CQ346" s="72">
        <f t="shared" ref="CQ346" si="3126">AQ346</f>
        <v>278</v>
      </c>
      <c r="CR346" s="72">
        <f t="shared" ref="CR346" si="3127">AU346</f>
        <v>309</v>
      </c>
      <c r="CS346" s="72">
        <f t="shared" ref="CS346" si="3128">AY346</f>
        <v>320</v>
      </c>
      <c r="CT346" s="23" t="e">
        <f t="shared" ref="CT346" si="3129">M346-K346</f>
        <v>#VALUE!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x14ac:dyDescent="0.2">
      <c r="A347" s="3" t="str">
        <f t="shared" ref="A347" si="3130">CONCATENATE(B347,"_",C347)</f>
        <v>opsd_bovin_6NWE</v>
      </c>
      <c r="B347" s="3" t="s">
        <v>915</v>
      </c>
      <c r="C347" s="3" t="s">
        <v>1650</v>
      </c>
      <c r="D347" s="3" t="str">
        <f>IFERROR(MID(VLOOKUP($B347,Seqs!$A:$B,2,0),E347,1),"")</f>
        <v>E</v>
      </c>
      <c r="E347" s="3">
        <v>33</v>
      </c>
      <c r="F347" s="3" t="str">
        <f>IFERROR(MID(VLOOKUP($B347,Seqs!$A:$B,2,0),G347,1),"")</f>
        <v>H</v>
      </c>
      <c r="G347" s="3">
        <v>65</v>
      </c>
      <c r="H347" s="3" t="str">
        <f>IFERROR(MID(VLOOKUP($B347,Seqs!$A:$B,2,0),I347,1),"")</f>
        <v>K</v>
      </c>
      <c r="I347" s="23">
        <v>66</v>
      </c>
      <c r="J347" s="3" t="str">
        <f>IFERROR(MID(VLOOKUP($B347,Seqs!$A:$B,2,0),K347,1),"")</f>
        <v>R</v>
      </c>
      <c r="K347" s="23">
        <v>69</v>
      </c>
      <c r="L347" s="3" t="str">
        <f>IFERROR(MID(VLOOKUP($B347,Seqs!$A:$B,2,0),M347,1),"")</f>
        <v>T</v>
      </c>
      <c r="M347" s="3">
        <v>70</v>
      </c>
      <c r="N347" s="3" t="str">
        <f>IFERROR(MID(VLOOKUP($B347,Seqs!$A:$B,2,0),O347,1),"")</f>
        <v>G</v>
      </c>
      <c r="O347" s="3">
        <v>101</v>
      </c>
      <c r="P347" s="3" t="str">
        <f>IFERROR(MID(VLOOKUP($B347,Seqs!$A:$B,2,0),Q347,1),"")</f>
        <v>Y</v>
      </c>
      <c r="Q347" s="3">
        <v>102</v>
      </c>
      <c r="R347" s="3" t="str">
        <f>IFERROR(MID(VLOOKUP($B347,Seqs!$A:$B,2,0),S347,1),"")</f>
        <v>F</v>
      </c>
      <c r="S347" s="3">
        <v>105</v>
      </c>
      <c r="T347" s="3" t="str">
        <f>IFERROR(MID(VLOOKUP($B347,Seqs!$A:$B,2,0),U347,1),"")</f>
        <v>G</v>
      </c>
      <c r="U347" s="3">
        <v>106</v>
      </c>
      <c r="V347" s="3" t="str">
        <f>IFERROR(MID(VLOOKUP($B347,Seqs!$A:$B,2,0),W347,1),"")</f>
        <v>K</v>
      </c>
      <c r="W347" s="3">
        <v>141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G</v>
      </c>
      <c r="AC347" s="3">
        <v>149</v>
      </c>
      <c r="AD347" s="3" t="str">
        <f>IFERROR(MID(VLOOKUP($B347,Seqs!$A:$B,2,0),AE347,1),"")</f>
        <v>V</v>
      </c>
      <c r="AE347" s="3">
        <v>173</v>
      </c>
      <c r="AF347" s="3" t="str">
        <f>IFERROR(MID(VLOOKUP($B347,Seqs!$A:$B,2,0),AG347,1),"")</f>
        <v>C</v>
      </c>
      <c r="AG347" s="3">
        <v>187</v>
      </c>
      <c r="AH347" s="3" t="str">
        <f>IFERROR(MID(VLOOKUP($B347,Seqs!$A:$B,2,0),AI347,1),"")</f>
        <v>I</v>
      </c>
      <c r="AI347" s="3">
        <v>189</v>
      </c>
      <c r="AJ347" s="3" t="str">
        <f>IFERROR(MID(VLOOKUP($B347,Seqs!$A:$B,2,0),AK347,1),"")</f>
        <v>N</v>
      </c>
      <c r="AK347" s="3">
        <v>199</v>
      </c>
      <c r="AL347" s="3" t="str">
        <f>IFERROR(MID(VLOOKUP($B347,Seqs!$A:$B,2,0),AM347,1),"")</f>
        <v>Q</v>
      </c>
      <c r="AM347" s="3">
        <v>237</v>
      </c>
      <c r="AN347" s="3" t="str">
        <f>IFERROR(MID(VLOOKUP($B347,Seqs!$A:$B,2,0),AO347,1),"")</f>
        <v>S</v>
      </c>
      <c r="AO347" s="3">
        <v>240</v>
      </c>
      <c r="AP347" s="3" t="str">
        <f>IFERROR(MID(VLOOKUP($B347,Seqs!$A:$B,2,0),AQ347,1),"")</f>
        <v>H</v>
      </c>
      <c r="AQ347" s="3">
        <v>278</v>
      </c>
      <c r="AR347" s="3" t="str">
        <f>IFERROR(MID(VLOOKUP($B347,Seqs!$A:$B,2,0),AS347,1),"")</f>
        <v>G</v>
      </c>
      <c r="AS347" s="3">
        <v>284</v>
      </c>
      <c r="AT347" s="3" t="str">
        <f>IFERROR(MID(VLOOKUP($B347,Seqs!$A:$B,2,0),AU347,1),"")</f>
        <v>M</v>
      </c>
      <c r="AU347" s="3">
        <v>309</v>
      </c>
      <c r="AV347" s="3" t="str">
        <f>IFERROR(MID(VLOOKUP($B347,Seqs!$A:$B,2,0),AW347,1),"")</f>
        <v>N</v>
      </c>
      <c r="AW347" s="3">
        <v>310</v>
      </c>
      <c r="AX347" s="3" t="str">
        <f>IFERROR(MID(VLOOKUP($B347,Seqs!$A:$B,2,0),AY347,1),"")</f>
        <v>C</v>
      </c>
      <c r="AY347" s="3">
        <v>323</v>
      </c>
      <c r="AZ347" s="77" t="str">
        <f>VLOOKUP(B347,Classification!A:D,2,0)</f>
        <v>A</v>
      </c>
      <c r="BA347" s="94" t="str">
        <f>VLOOKUP(B347,Classification!A:D,4,0)</f>
        <v>Opsins</v>
      </c>
      <c r="BB347" s="27" t="b">
        <f t="shared" ref="BB347" si="3131"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 t="shared" ref="BC347" si="3132">_xlfn.AGGREGATE(9,6,CH347:CS347)-_xlfn.AGGREGATE(9,6,BV347:CG347)+12</f>
        <v>256</v>
      </c>
      <c r="BD347" s="2" t="s">
        <v>23</v>
      </c>
      <c r="BE347" s="3" t="s">
        <v>1287</v>
      </c>
      <c r="BF347" s="118">
        <v>2.71</v>
      </c>
      <c r="BG347" s="49" t="s">
        <v>1</v>
      </c>
      <c r="BH347" s="49" t="s">
        <v>1</v>
      </c>
      <c r="BI347" s="1"/>
      <c r="BJ347" s="70" t="s">
        <v>1283</v>
      </c>
      <c r="BK347" s="57" t="s">
        <v>1283</v>
      </c>
      <c r="BL347" s="57" t="s">
        <v>1283</v>
      </c>
      <c r="BM347" s="57" t="s">
        <v>1283</v>
      </c>
      <c r="BN347" s="57" t="s">
        <v>1283</v>
      </c>
      <c r="BO347" s="57" t="s">
        <v>1283</v>
      </c>
      <c r="BP347" s="57" t="s">
        <v>1283</v>
      </c>
      <c r="BQ347" s="57" t="s">
        <v>1283</v>
      </c>
      <c r="BR347" s="57" t="s">
        <v>1283</v>
      </c>
      <c r="BS347" s="57" t="s">
        <v>1283</v>
      </c>
      <c r="BT347" s="57" t="s">
        <v>1283</v>
      </c>
      <c r="BU347" s="57" t="s">
        <v>1283</v>
      </c>
      <c r="BV347" s="70">
        <f t="shared" ref="BV347" si="3133">E347</f>
        <v>33</v>
      </c>
      <c r="BW347" s="71">
        <f t="shared" ref="BW347" si="3134">I347</f>
        <v>66</v>
      </c>
      <c r="BX347" s="72">
        <f t="shared" ref="BX347" si="3135">M347</f>
        <v>70</v>
      </c>
      <c r="BY347" s="71">
        <f t="shared" ref="BY347" si="3136">Q347</f>
        <v>102</v>
      </c>
      <c r="BZ347" s="72">
        <f t="shared" ref="BZ347" si="3137">U347</f>
        <v>106</v>
      </c>
      <c r="CA347" s="71" t="str">
        <f t="shared" ref="CA347" si="3138">Y347</f>
        <v>-</v>
      </c>
      <c r="CB347" s="72">
        <f t="shared" ref="CB347" si="3139">AC347</f>
        <v>149</v>
      </c>
      <c r="CC347" s="71">
        <f t="shared" ref="CC347" si="3140">AG347</f>
        <v>187</v>
      </c>
      <c r="CD347" s="72">
        <f t="shared" ref="CD347" si="3141">AK347</f>
        <v>199</v>
      </c>
      <c r="CE347" s="71">
        <f t="shared" ref="CE347" si="3142">AO347</f>
        <v>240</v>
      </c>
      <c r="CF347" s="72">
        <f t="shared" ref="CF347" si="3143">AS347</f>
        <v>284</v>
      </c>
      <c r="CG347" s="71">
        <f t="shared" ref="CG347" si="3144">AW347</f>
        <v>310</v>
      </c>
      <c r="CH347" s="70">
        <f t="shared" ref="CH347" si="3145">G347</f>
        <v>65</v>
      </c>
      <c r="CI347" s="71">
        <f t="shared" ref="CI347" si="3146">K347</f>
        <v>69</v>
      </c>
      <c r="CJ347" s="72">
        <f t="shared" ref="CJ347" si="3147">O347</f>
        <v>101</v>
      </c>
      <c r="CK347" s="72">
        <f t="shared" ref="CK347" si="3148">S347</f>
        <v>105</v>
      </c>
      <c r="CL347" s="72">
        <f t="shared" ref="CL347" si="3149">W347</f>
        <v>141</v>
      </c>
      <c r="CM347" s="72" t="str">
        <f t="shared" ref="CM347" si="3150">AA347</f>
        <v>-</v>
      </c>
      <c r="CN347" s="72">
        <f t="shared" ref="CN347" si="3151">AE347</f>
        <v>173</v>
      </c>
      <c r="CO347" s="72">
        <f t="shared" ref="CO347" si="3152">AI347</f>
        <v>189</v>
      </c>
      <c r="CP347" s="72">
        <f t="shared" ref="CP347" si="3153">AM347</f>
        <v>237</v>
      </c>
      <c r="CQ347" s="72">
        <f t="shared" ref="CQ347" si="3154">AQ347</f>
        <v>278</v>
      </c>
      <c r="CR347" s="72">
        <f t="shared" ref="CR347" si="3155">AU347</f>
        <v>309</v>
      </c>
      <c r="CS347" s="72">
        <f t="shared" ref="CS347" si="3156">AY347</f>
        <v>323</v>
      </c>
      <c r="CT347" s="23">
        <f t="shared" ref="CT347" si="3157">M347-K347</f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s="12" customFormat="1" x14ac:dyDescent="0.2">
      <c r="A348" s="9" t="str">
        <f t="shared" ref="A348" si="3158">CONCATENATE(B348,"_",C348)</f>
        <v>opsd_bovin_6PEL</v>
      </c>
      <c r="B348" s="9" t="s">
        <v>915</v>
      </c>
      <c r="C348" s="9" t="s">
        <v>1687</v>
      </c>
      <c r="D348" s="9" t="str">
        <f>IFERROR(MID(VLOOKUP($B348,Seqs!$A:$B,2,0),E348,1),"")</f>
        <v>E</v>
      </c>
      <c r="E348" s="9">
        <v>33</v>
      </c>
      <c r="F348" s="9" t="str">
        <f>IFERROR(MID(VLOOKUP($B348,Seqs!$A:$B,2,0),G348,1),"")</f>
        <v>H</v>
      </c>
      <c r="G348" s="9">
        <v>65</v>
      </c>
      <c r="H348" s="9" t="str">
        <f>IFERROR(MID(VLOOKUP($B348,Seqs!$A:$B,2,0),I348,1),"")</f>
        <v>K</v>
      </c>
      <c r="I348" s="109">
        <v>66</v>
      </c>
      <c r="J348" s="9" t="str">
        <f>IFERROR(MID(VLOOKUP($B348,Seqs!$A:$B,2,0),K348,1),"")</f>
        <v>R</v>
      </c>
      <c r="K348" s="109">
        <v>69</v>
      </c>
      <c r="L348" s="9" t="str">
        <f>IFERROR(MID(VLOOKUP($B348,Seqs!$A:$B,2,0),M348,1),"")</f>
        <v>N</v>
      </c>
      <c r="M348" s="9">
        <v>73</v>
      </c>
      <c r="N348" s="9" t="str">
        <f>IFERROR(MID(VLOOKUP($B348,Seqs!$A:$B,2,0),O348,1),"")</f>
        <v>G</v>
      </c>
      <c r="O348" s="9">
        <v>101</v>
      </c>
      <c r="P348" s="9" t="str">
        <f>IFERROR(MID(VLOOKUP($B348,Seqs!$A:$B,2,0),Q348,1),"")</f>
        <v>Y</v>
      </c>
      <c r="Q348" s="9">
        <v>102</v>
      </c>
      <c r="R348" s="9" t="str">
        <f>IFERROR(MID(VLOOKUP($B348,Seqs!$A:$B,2,0),S348,1),"")</f>
        <v>F</v>
      </c>
      <c r="S348" s="9">
        <v>105</v>
      </c>
      <c r="T348" s="9" t="str">
        <f>IFERROR(MID(VLOOKUP($B348,Seqs!$A:$B,2,0),U348,1),"")</f>
        <v>G</v>
      </c>
      <c r="U348" s="9">
        <v>106</v>
      </c>
      <c r="V348" s="9" t="str">
        <f>IFERROR(MID(VLOOKUP($B348,Seqs!$A:$B,2,0),W348,1),"")</f>
        <v>K</v>
      </c>
      <c r="W348" s="9">
        <v>141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G</v>
      </c>
      <c r="AC348" s="9">
        <v>149</v>
      </c>
      <c r="AD348" s="9" t="str">
        <f>IFERROR(MID(VLOOKUP($B348,Seqs!$A:$B,2,0),AE348,1),"")</f>
        <v>G</v>
      </c>
      <c r="AE348" s="9">
        <v>174</v>
      </c>
      <c r="AF348" s="9" t="str">
        <f>IFERROR(MID(VLOOKUP($B348,Seqs!$A:$B,2,0),AG348,1),"")</f>
        <v>C</v>
      </c>
      <c r="AG348" s="9">
        <v>187</v>
      </c>
      <c r="AH348" s="9" t="str">
        <f>IFERROR(MID(VLOOKUP($B348,Seqs!$A:$B,2,0),AI348,1),"")</f>
        <v>I</v>
      </c>
      <c r="AI348" s="9">
        <v>189</v>
      </c>
      <c r="AJ348" s="9" t="str">
        <f>IFERROR(MID(VLOOKUP($B348,Seqs!$A:$B,2,0),AK348,1),"")</f>
        <v>N</v>
      </c>
      <c r="AK348" s="9">
        <v>199</v>
      </c>
      <c r="AL348" s="9" t="str">
        <f>IFERROR(MID(VLOOKUP($B348,Seqs!$A:$B,2,0),AM348,1),"")</f>
        <v>Q</v>
      </c>
      <c r="AM348" s="9">
        <v>237</v>
      </c>
      <c r="AN348" s="9" t="str">
        <f>IFERROR(MID(VLOOKUP($B348,Seqs!$A:$B,2,0),AO348,1),"")</f>
        <v>S</v>
      </c>
      <c r="AO348" s="9">
        <v>240</v>
      </c>
      <c r="AP348" s="9" t="str">
        <f>IFERROR(MID(VLOOKUP($B348,Seqs!$A:$B,2,0),AQ348,1),"")</f>
        <v>H</v>
      </c>
      <c r="AQ348" s="9">
        <v>278</v>
      </c>
      <c r="AR348" s="9" t="str">
        <f>IFERROR(MID(VLOOKUP($B348,Seqs!$A:$B,2,0),AS348,1),"")</f>
        <v>G</v>
      </c>
      <c r="AS348" s="9">
        <v>284</v>
      </c>
      <c r="AT348" s="9" t="str">
        <f>IFERROR(MID(VLOOKUP($B348,Seqs!$A:$B,2,0),AU348,1),"")</f>
        <v>M</v>
      </c>
      <c r="AU348" s="9">
        <v>309</v>
      </c>
      <c r="AV348" s="9" t="str">
        <f>IFERROR(MID(VLOOKUP($B348,Seqs!$A:$B,2,0),AW348,1),"")</f>
        <v>N</v>
      </c>
      <c r="AW348" s="9">
        <v>310</v>
      </c>
      <c r="AX348" s="9" t="str">
        <f>IFERROR(MID(VLOOKUP($B348,Seqs!$A:$B,2,0),AY348,1),"")</f>
        <v>C</v>
      </c>
      <c r="AY348" s="9">
        <v>322</v>
      </c>
      <c r="AZ348" s="110" t="str">
        <f>VLOOKUP(B348,Classification!A:D,2,0)</f>
        <v>A</v>
      </c>
      <c r="BA348" s="98" t="str">
        <f>VLOOKUP(B348,Classification!A:D,4,0)</f>
        <v>Opsins</v>
      </c>
      <c r="BB348" s="36" t="b">
        <f t="shared" ref="BB348" si="3159"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 t="shared" ref="BC348" si="3160">_xlfn.AGGREGATE(9,6,CH348:CS348)-_xlfn.AGGREGATE(9,6,BV348:CG348)+12</f>
        <v>253</v>
      </c>
      <c r="BD348" s="40" t="s">
        <v>23</v>
      </c>
      <c r="BE348" s="9" t="s">
        <v>1287</v>
      </c>
      <c r="BF348" s="119">
        <v>3.19</v>
      </c>
      <c r="BG348" s="51" t="s">
        <v>1</v>
      </c>
      <c r="BH348" s="51" t="s">
        <v>1</v>
      </c>
      <c r="BJ348" s="111" t="s">
        <v>1283</v>
      </c>
      <c r="BK348" s="112" t="s">
        <v>1283</v>
      </c>
      <c r="BL348" s="112" t="s">
        <v>1283</v>
      </c>
      <c r="BM348" s="112" t="s">
        <v>1283</v>
      </c>
      <c r="BN348" s="112" t="s">
        <v>1283</v>
      </c>
      <c r="BO348" s="112" t="s">
        <v>1283</v>
      </c>
      <c r="BP348" s="112" t="s">
        <v>1283</v>
      </c>
      <c r="BQ348" s="112" t="s">
        <v>1283</v>
      </c>
      <c r="BR348" s="112" t="s">
        <v>1283</v>
      </c>
      <c r="BS348" s="112" t="s">
        <v>1283</v>
      </c>
      <c r="BT348" s="112" t="s">
        <v>1283</v>
      </c>
      <c r="BU348" s="112" t="s">
        <v>1283</v>
      </c>
      <c r="BV348" s="111">
        <f t="shared" ref="BV348" si="3161">E348</f>
        <v>33</v>
      </c>
      <c r="BW348" s="113">
        <f t="shared" ref="BW348" si="3162">I348</f>
        <v>66</v>
      </c>
      <c r="BX348" s="114">
        <f t="shared" ref="BX348" si="3163">M348</f>
        <v>73</v>
      </c>
      <c r="BY348" s="113">
        <f t="shared" ref="BY348" si="3164">Q348</f>
        <v>102</v>
      </c>
      <c r="BZ348" s="114">
        <f t="shared" ref="BZ348" si="3165">U348</f>
        <v>106</v>
      </c>
      <c r="CA348" s="113" t="str">
        <f t="shared" ref="CA348" si="3166">Y348</f>
        <v>-</v>
      </c>
      <c r="CB348" s="114">
        <f t="shared" ref="CB348" si="3167">AC348</f>
        <v>149</v>
      </c>
      <c r="CC348" s="113">
        <f t="shared" ref="CC348" si="3168">AG348</f>
        <v>187</v>
      </c>
      <c r="CD348" s="114">
        <f t="shared" ref="CD348" si="3169">AK348</f>
        <v>199</v>
      </c>
      <c r="CE348" s="113">
        <f t="shared" ref="CE348" si="3170">AO348</f>
        <v>240</v>
      </c>
      <c r="CF348" s="114">
        <f t="shared" ref="CF348" si="3171">AS348</f>
        <v>284</v>
      </c>
      <c r="CG348" s="113">
        <f t="shared" ref="CG348" si="3172">AW348</f>
        <v>310</v>
      </c>
      <c r="CH348" s="111">
        <f t="shared" ref="CH348" si="3173">G348</f>
        <v>65</v>
      </c>
      <c r="CI348" s="113">
        <f t="shared" ref="CI348" si="3174">K348</f>
        <v>69</v>
      </c>
      <c r="CJ348" s="114">
        <f t="shared" ref="CJ348" si="3175">O348</f>
        <v>101</v>
      </c>
      <c r="CK348" s="114">
        <f t="shared" ref="CK348" si="3176">S348</f>
        <v>105</v>
      </c>
      <c r="CL348" s="114">
        <f t="shared" ref="CL348" si="3177">W348</f>
        <v>141</v>
      </c>
      <c r="CM348" s="114" t="str">
        <f t="shared" ref="CM348" si="3178">AA348</f>
        <v>-</v>
      </c>
      <c r="CN348" s="114">
        <f t="shared" ref="CN348" si="3179">AE348</f>
        <v>174</v>
      </c>
      <c r="CO348" s="114">
        <f t="shared" ref="CO348" si="3180">AI348</f>
        <v>189</v>
      </c>
      <c r="CP348" s="114">
        <f t="shared" ref="CP348" si="3181">AM348</f>
        <v>237</v>
      </c>
      <c r="CQ348" s="114">
        <f t="shared" ref="CQ348" si="3182">AQ348</f>
        <v>278</v>
      </c>
      <c r="CR348" s="114">
        <f t="shared" ref="CR348" si="3183">AU348</f>
        <v>309</v>
      </c>
      <c r="CS348" s="114">
        <f t="shared" ref="CS348" si="3184">AY348</f>
        <v>322</v>
      </c>
      <c r="CT348" s="109">
        <f t="shared" ref="CT348" si="3185">M348-K348</f>
        <v>4</v>
      </c>
    </row>
    <row r="349" spans="1:1029" s="12" customFormat="1" x14ac:dyDescent="0.2">
      <c r="A349" s="9" t="str">
        <f t="shared" ref="A349" si="3186">CONCATENATE(B349,"_",C349)</f>
        <v>opsd_bovin_6PGS</v>
      </c>
      <c r="B349" s="9" t="s">
        <v>915</v>
      </c>
      <c r="C349" s="9" t="s">
        <v>1688</v>
      </c>
      <c r="D349" s="9" t="str">
        <f>IFERROR(MID(VLOOKUP($B349,Seqs!$A:$B,2,0),E349,1),"")</f>
        <v>E</v>
      </c>
      <c r="E349" s="9">
        <v>33</v>
      </c>
      <c r="F349" s="9" t="str">
        <f>IFERROR(MID(VLOOKUP($B349,Seqs!$A:$B,2,0),G349,1),"")</f>
        <v>Q</v>
      </c>
      <c r="G349" s="9">
        <v>64</v>
      </c>
      <c r="H349" s="9" t="str">
        <f>IFERROR(MID(VLOOKUP($B349,Seqs!$A:$B,2,0),I349,1),"")</f>
        <v>K</v>
      </c>
      <c r="I349" s="109">
        <v>66</v>
      </c>
      <c r="J349" s="9" t="str">
        <f>IFERROR(MID(VLOOKUP($B349,Seqs!$A:$B,2,0),K349,1),"")</f>
        <v>R</v>
      </c>
      <c r="K349" s="109">
        <v>69</v>
      </c>
      <c r="L349" s="9" t="str">
        <f>IFERROR(MID(VLOOKUP($B349,Seqs!$A:$B,2,0),M349,1),"")</f>
        <v>N</v>
      </c>
      <c r="M349" s="9">
        <v>73</v>
      </c>
      <c r="N349" s="9" t="str">
        <f>IFERROR(MID(VLOOKUP($B349,Seqs!$A:$B,2,0),O349,1),"")</f>
        <v>G</v>
      </c>
      <c r="O349" s="9">
        <v>101</v>
      </c>
      <c r="P349" s="9" t="str">
        <f>IFERROR(MID(VLOOKUP($B349,Seqs!$A:$B,2,0),Q349,1),"")</f>
        <v>Y</v>
      </c>
      <c r="Q349" s="9">
        <v>102</v>
      </c>
      <c r="R349" s="9" t="str">
        <f>IFERROR(MID(VLOOKUP($B349,Seqs!$A:$B,2,0),S349,1),"")</f>
        <v>F</v>
      </c>
      <c r="S349" s="9">
        <v>105</v>
      </c>
      <c r="T349" s="9" t="str">
        <f>IFERROR(MID(VLOOKUP($B349,Seqs!$A:$B,2,0),U349,1),"")</f>
        <v>G</v>
      </c>
      <c r="U349" s="9">
        <v>106</v>
      </c>
      <c r="V349" s="9" t="str">
        <f>IFERROR(MID(VLOOKUP($B349,Seqs!$A:$B,2,0),W349,1),"")</f>
        <v>K</v>
      </c>
      <c r="W349" s="9">
        <v>141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G</v>
      </c>
      <c r="AC349" s="9">
        <v>149</v>
      </c>
      <c r="AD349" s="9" t="str">
        <f>IFERROR(MID(VLOOKUP($B349,Seqs!$A:$B,2,0),AE349,1),"")</f>
        <v>G</v>
      </c>
      <c r="AE349" s="9">
        <v>174</v>
      </c>
      <c r="AF349" s="9" t="str">
        <f>IFERROR(MID(VLOOKUP($B349,Seqs!$A:$B,2,0),AG349,1),"")</f>
        <v>C</v>
      </c>
      <c r="AG349" s="9">
        <v>187</v>
      </c>
      <c r="AH349" s="9" t="str">
        <f>IFERROR(MID(VLOOKUP($B349,Seqs!$A:$B,2,0),AI349,1),"")</f>
        <v>I</v>
      </c>
      <c r="AI349" s="9">
        <v>189</v>
      </c>
      <c r="AJ349" s="9" t="str">
        <f>IFERROR(MID(VLOOKUP($B349,Seqs!$A:$B,2,0),AK349,1),"")</f>
        <v>N</v>
      </c>
      <c r="AK349" s="9">
        <v>199</v>
      </c>
      <c r="AL349" s="9" t="str">
        <f>IFERROR(MID(VLOOKUP($B349,Seqs!$A:$B,2,0),AM349,1),"")</f>
        <v>Q</v>
      </c>
      <c r="AM349" s="9">
        <v>237</v>
      </c>
      <c r="AN349" s="9" t="str">
        <f>IFERROR(MID(VLOOKUP($B349,Seqs!$A:$B,2,0),AO349,1),"")</f>
        <v>S</v>
      </c>
      <c r="AO349" s="9">
        <v>240</v>
      </c>
      <c r="AP349" s="9" t="str">
        <f>IFERROR(MID(VLOOKUP($B349,Seqs!$A:$B,2,0),AQ349,1),"")</f>
        <v>H</v>
      </c>
      <c r="AQ349" s="9">
        <v>278</v>
      </c>
      <c r="AR349" s="9" t="str">
        <f>IFERROR(MID(VLOOKUP($B349,Seqs!$A:$B,2,0),AS349,1),"")</f>
        <v>G</v>
      </c>
      <c r="AS349" s="9">
        <v>284</v>
      </c>
      <c r="AT349" s="9" t="str">
        <f>IFERROR(MID(VLOOKUP($B349,Seqs!$A:$B,2,0),AU349,1),"")</f>
        <v>M</v>
      </c>
      <c r="AU349" s="9">
        <v>309</v>
      </c>
      <c r="AV349" s="9" t="str">
        <f>IFERROR(MID(VLOOKUP($B349,Seqs!$A:$B,2,0),AW349,1),"")</f>
        <v>N</v>
      </c>
      <c r="AW349" s="9">
        <v>310</v>
      </c>
      <c r="AX349" s="9" t="str">
        <f>IFERROR(MID(VLOOKUP($B349,Seqs!$A:$B,2,0),AY349,1),"")</f>
        <v>C</v>
      </c>
      <c r="AY349" s="9">
        <v>322</v>
      </c>
      <c r="AZ349" s="110" t="str">
        <f>VLOOKUP(B349,Classification!A:D,2,0)</f>
        <v>A</v>
      </c>
      <c r="BA349" s="98" t="str">
        <f>VLOOKUP(B349,Classification!A:D,4,0)</f>
        <v>Opsins</v>
      </c>
      <c r="BB349" s="36" t="b">
        <f t="shared" ref="BB349" si="3187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 t="shared" ref="BC349" si="3188">_xlfn.AGGREGATE(9,6,CH349:CS349)-_xlfn.AGGREGATE(9,6,BV349:CG349)+12</f>
        <v>252</v>
      </c>
      <c r="BD349" s="40" t="s">
        <v>23</v>
      </c>
      <c r="BE349" s="9" t="s">
        <v>1287</v>
      </c>
      <c r="BF349" s="119">
        <v>2.9</v>
      </c>
      <c r="BG349" s="51" t="s">
        <v>1</v>
      </c>
      <c r="BH349" s="51" t="s">
        <v>1</v>
      </c>
      <c r="BJ349" s="111" t="s">
        <v>1283</v>
      </c>
      <c r="BK349" s="112" t="s">
        <v>1283</v>
      </c>
      <c r="BL349" s="112" t="s">
        <v>1283</v>
      </c>
      <c r="BM349" s="112" t="s">
        <v>1283</v>
      </c>
      <c r="BN349" s="112" t="s">
        <v>1283</v>
      </c>
      <c r="BO349" s="112" t="s">
        <v>1283</v>
      </c>
      <c r="BP349" s="112" t="s">
        <v>1283</v>
      </c>
      <c r="BQ349" s="112" t="s">
        <v>1283</v>
      </c>
      <c r="BR349" s="112" t="s">
        <v>1283</v>
      </c>
      <c r="BS349" s="112" t="s">
        <v>1283</v>
      </c>
      <c r="BT349" s="112" t="s">
        <v>1283</v>
      </c>
      <c r="BU349" s="112" t="s">
        <v>1283</v>
      </c>
      <c r="BV349" s="111">
        <f t="shared" ref="BV349" si="3189">E349</f>
        <v>33</v>
      </c>
      <c r="BW349" s="113">
        <f t="shared" ref="BW349" si="3190">I349</f>
        <v>66</v>
      </c>
      <c r="BX349" s="114">
        <f t="shared" ref="BX349" si="3191">M349</f>
        <v>73</v>
      </c>
      <c r="BY349" s="113">
        <f t="shared" ref="BY349" si="3192">Q349</f>
        <v>102</v>
      </c>
      <c r="BZ349" s="114">
        <f t="shared" ref="BZ349" si="3193">U349</f>
        <v>106</v>
      </c>
      <c r="CA349" s="113" t="str">
        <f t="shared" ref="CA349" si="3194">Y349</f>
        <v>-</v>
      </c>
      <c r="CB349" s="114">
        <f t="shared" ref="CB349" si="3195">AC349</f>
        <v>149</v>
      </c>
      <c r="CC349" s="113">
        <f t="shared" ref="CC349" si="3196">AG349</f>
        <v>187</v>
      </c>
      <c r="CD349" s="114">
        <f t="shared" ref="CD349" si="3197">AK349</f>
        <v>199</v>
      </c>
      <c r="CE349" s="113">
        <f t="shared" ref="CE349" si="3198">AO349</f>
        <v>240</v>
      </c>
      <c r="CF349" s="114">
        <f t="shared" ref="CF349" si="3199">AS349</f>
        <v>284</v>
      </c>
      <c r="CG349" s="113">
        <f t="shared" ref="CG349" si="3200">AW349</f>
        <v>310</v>
      </c>
      <c r="CH349" s="111">
        <f t="shared" ref="CH349" si="3201">G349</f>
        <v>64</v>
      </c>
      <c r="CI349" s="113">
        <f t="shared" ref="CI349" si="3202">K349</f>
        <v>69</v>
      </c>
      <c r="CJ349" s="114">
        <f t="shared" ref="CJ349" si="3203">O349</f>
        <v>101</v>
      </c>
      <c r="CK349" s="114">
        <f t="shared" ref="CK349" si="3204">S349</f>
        <v>105</v>
      </c>
      <c r="CL349" s="114">
        <f t="shared" ref="CL349" si="3205">W349</f>
        <v>141</v>
      </c>
      <c r="CM349" s="114" t="str">
        <f t="shared" ref="CM349" si="3206">AA349</f>
        <v>-</v>
      </c>
      <c r="CN349" s="114">
        <f t="shared" ref="CN349" si="3207">AE349</f>
        <v>174</v>
      </c>
      <c r="CO349" s="114">
        <f t="shared" ref="CO349" si="3208">AI349</f>
        <v>189</v>
      </c>
      <c r="CP349" s="114">
        <f t="shared" ref="CP349" si="3209">AM349</f>
        <v>237</v>
      </c>
      <c r="CQ349" s="114">
        <f t="shared" ref="CQ349" si="3210">AQ349</f>
        <v>278</v>
      </c>
      <c r="CR349" s="114">
        <f t="shared" ref="CR349" si="3211">AU349</f>
        <v>309</v>
      </c>
      <c r="CS349" s="114">
        <f t="shared" ref="CS349" si="3212">AY349</f>
        <v>322</v>
      </c>
      <c r="CT349" s="109">
        <f t="shared" ref="CT349" si="3213">M349-K349</f>
        <v>4</v>
      </c>
    </row>
    <row r="350" spans="1:1029" s="12" customFormat="1" x14ac:dyDescent="0.2">
      <c r="A350" s="9" t="str">
        <f t="shared" ref="A350" si="3214">CONCATENATE(B350,"_",C350)</f>
        <v>opsd_bovin_6PH7</v>
      </c>
      <c r="B350" s="9" t="s">
        <v>915</v>
      </c>
      <c r="C350" s="9" t="s">
        <v>1689</v>
      </c>
      <c r="D350" s="9" t="str">
        <f>IFERROR(MID(VLOOKUP($B350,Seqs!$A:$B,2,0),E350,1),"")</f>
        <v>E</v>
      </c>
      <c r="E350" s="9">
        <v>33</v>
      </c>
      <c r="F350" s="9" t="str">
        <f>IFERROR(MID(VLOOKUP($B350,Seqs!$A:$B,2,0),G350,1),"")</f>
        <v>H</v>
      </c>
      <c r="G350" s="9">
        <v>65</v>
      </c>
      <c r="H350" s="9" t="str">
        <f>IFERROR(MID(VLOOKUP($B350,Seqs!$A:$B,2,0),I350,1),"")</f>
        <v>K</v>
      </c>
      <c r="I350" s="109">
        <v>66</v>
      </c>
      <c r="J350" s="9" t="str">
        <f>IFERROR(MID(VLOOKUP($B350,Seqs!$A:$B,2,0),K350,1),"")</f>
        <v>R</v>
      </c>
      <c r="K350" s="109">
        <v>69</v>
      </c>
      <c r="L350" s="9" t="str">
        <f>IFERROR(MID(VLOOKUP($B350,Seqs!$A:$B,2,0),M350,1),"")</f>
        <v>N</v>
      </c>
      <c r="M350" s="9">
        <v>73</v>
      </c>
      <c r="N350" s="9" t="str">
        <f>IFERROR(MID(VLOOKUP($B350,Seqs!$A:$B,2,0),O350,1),"")</f>
        <v>G</v>
      </c>
      <c r="O350" s="9">
        <v>101</v>
      </c>
      <c r="P350" s="9" t="str">
        <f>IFERROR(MID(VLOOKUP($B350,Seqs!$A:$B,2,0),Q350,1),"")</f>
        <v>Y</v>
      </c>
      <c r="Q350" s="9">
        <v>102</v>
      </c>
      <c r="R350" s="9" t="str">
        <f>IFERROR(MID(VLOOKUP($B350,Seqs!$A:$B,2,0),S350,1),"")</f>
        <v>F</v>
      </c>
      <c r="S350" s="9">
        <v>105</v>
      </c>
      <c r="T350" s="9" t="str">
        <f>IFERROR(MID(VLOOKUP($B350,Seqs!$A:$B,2,0),U350,1),"")</f>
        <v>G</v>
      </c>
      <c r="U350" s="9">
        <v>106</v>
      </c>
      <c r="V350" s="9" t="str">
        <f>IFERROR(MID(VLOOKUP($B350,Seqs!$A:$B,2,0),W350,1),"")</f>
        <v>K</v>
      </c>
      <c r="W350" s="9">
        <v>141</v>
      </c>
      <c r="X350" s="9" t="str">
        <f>IFERROR(MID(VLOOKUP($B350,Seqs!$A:$B,2,0),Y350,1),"")</f>
        <v/>
      </c>
      <c r="Y350" s="9" t="s">
        <v>23</v>
      </c>
      <c r="Z350" s="9" t="str">
        <f>IFERROR(MID(VLOOKUP($B350,Seqs!$A:$B,2,0),AA350,1),"")</f>
        <v/>
      </c>
      <c r="AA350" s="9" t="s">
        <v>23</v>
      </c>
      <c r="AB350" s="9" t="str">
        <f>IFERROR(MID(VLOOKUP($B350,Seqs!$A:$B,2,0),AC350,1),"")</f>
        <v>G</v>
      </c>
      <c r="AC350" s="9">
        <v>149</v>
      </c>
      <c r="AD350" s="9" t="str">
        <f>IFERROR(MID(VLOOKUP($B350,Seqs!$A:$B,2,0),AE350,1),"")</f>
        <v>V</v>
      </c>
      <c r="AE350" s="9">
        <v>173</v>
      </c>
      <c r="AF350" s="9" t="str">
        <f>IFERROR(MID(VLOOKUP($B350,Seqs!$A:$B,2,0),AG350,1),"")</f>
        <v>C</v>
      </c>
      <c r="AG350" s="9">
        <v>187</v>
      </c>
      <c r="AH350" s="9" t="str">
        <f>IFERROR(MID(VLOOKUP($B350,Seqs!$A:$B,2,0),AI350,1),"")</f>
        <v>I</v>
      </c>
      <c r="AI350" s="9">
        <v>189</v>
      </c>
      <c r="AJ350" s="9" t="str">
        <f>IFERROR(MID(VLOOKUP($B350,Seqs!$A:$B,2,0),AK350,1),"")</f>
        <v>N</v>
      </c>
      <c r="AK350" s="9">
        <v>199</v>
      </c>
      <c r="AL350" s="9" t="str">
        <f>IFERROR(MID(VLOOKUP($B350,Seqs!$A:$B,2,0),AM350,1),"")</f>
        <v>Q</v>
      </c>
      <c r="AM350" s="9">
        <v>237</v>
      </c>
      <c r="AN350" s="9" t="str">
        <f>IFERROR(MID(VLOOKUP($B350,Seqs!$A:$B,2,0),AO350,1),"")</f>
        <v>S</v>
      </c>
      <c r="AO350" s="9">
        <v>240</v>
      </c>
      <c r="AP350" s="9" t="str">
        <f>IFERROR(MID(VLOOKUP($B350,Seqs!$A:$B,2,0),AQ350,1),"")</f>
        <v>H</v>
      </c>
      <c r="AQ350" s="9">
        <v>278</v>
      </c>
      <c r="AR350" s="9" t="str">
        <f>IFERROR(MID(VLOOKUP($B350,Seqs!$A:$B,2,0),AS350,1),"")</f>
        <v>G</v>
      </c>
      <c r="AS350" s="9">
        <v>284</v>
      </c>
      <c r="AT350" s="9" t="str">
        <f>IFERROR(MID(VLOOKUP($B350,Seqs!$A:$B,2,0),AU350,1),"")</f>
        <v>M</v>
      </c>
      <c r="AU350" s="9">
        <v>309</v>
      </c>
      <c r="AV350" s="9" t="str">
        <f>IFERROR(MID(VLOOKUP($B350,Seqs!$A:$B,2,0),AW350,1),"")</f>
        <v>N</v>
      </c>
      <c r="AW350" s="9">
        <v>310</v>
      </c>
      <c r="AX350" s="9" t="str">
        <f>IFERROR(MID(VLOOKUP($B350,Seqs!$A:$B,2,0),AY350,1),"")</f>
        <v>C</v>
      </c>
      <c r="AY350" s="9">
        <v>322</v>
      </c>
      <c r="AZ350" s="110" t="str">
        <f>VLOOKUP(B350,Classification!A:D,2,0)</f>
        <v>A</v>
      </c>
      <c r="BA350" s="98" t="str">
        <f>VLOOKUP(B350,Classification!A:D,4,0)</f>
        <v>Opsins</v>
      </c>
      <c r="BB350" s="36" t="b">
        <f t="shared" ref="BB350" si="3215"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109">
        <f t="shared" ref="BC350" si="3216">_xlfn.AGGREGATE(9,6,CH350:CS350)-_xlfn.AGGREGATE(9,6,BV350:CG350)+12</f>
        <v>252</v>
      </c>
      <c r="BD350" s="40" t="s">
        <v>23</v>
      </c>
      <c r="BE350" s="9" t="s">
        <v>1287</v>
      </c>
      <c r="BF350" s="119">
        <v>2.9</v>
      </c>
      <c r="BG350" s="51" t="s">
        <v>1</v>
      </c>
      <c r="BH350" s="51" t="s">
        <v>1</v>
      </c>
      <c r="BJ350" s="111" t="s">
        <v>1283</v>
      </c>
      <c r="BK350" s="112" t="s">
        <v>1283</v>
      </c>
      <c r="BL350" s="112" t="s">
        <v>1283</v>
      </c>
      <c r="BM350" s="112" t="s">
        <v>1283</v>
      </c>
      <c r="BN350" s="112" t="s">
        <v>1283</v>
      </c>
      <c r="BO350" s="112" t="s">
        <v>1283</v>
      </c>
      <c r="BP350" s="112" t="s">
        <v>1283</v>
      </c>
      <c r="BQ350" s="112" t="s">
        <v>1283</v>
      </c>
      <c r="BR350" s="112" t="s">
        <v>1283</v>
      </c>
      <c r="BS350" s="112" t="s">
        <v>1283</v>
      </c>
      <c r="BT350" s="112" t="s">
        <v>1283</v>
      </c>
      <c r="BU350" s="112" t="s">
        <v>1283</v>
      </c>
      <c r="BV350" s="111">
        <f t="shared" ref="BV350" si="3217">E350</f>
        <v>33</v>
      </c>
      <c r="BW350" s="113">
        <f t="shared" ref="BW350" si="3218">I350</f>
        <v>66</v>
      </c>
      <c r="BX350" s="114">
        <f t="shared" ref="BX350" si="3219">M350</f>
        <v>73</v>
      </c>
      <c r="BY350" s="113">
        <f t="shared" ref="BY350" si="3220">Q350</f>
        <v>102</v>
      </c>
      <c r="BZ350" s="114">
        <f t="shared" ref="BZ350" si="3221">U350</f>
        <v>106</v>
      </c>
      <c r="CA350" s="113" t="str">
        <f t="shared" ref="CA350" si="3222">Y350</f>
        <v>-</v>
      </c>
      <c r="CB350" s="114">
        <f t="shared" ref="CB350" si="3223">AC350</f>
        <v>149</v>
      </c>
      <c r="CC350" s="113">
        <f t="shared" ref="CC350" si="3224">AG350</f>
        <v>187</v>
      </c>
      <c r="CD350" s="114">
        <f t="shared" ref="CD350" si="3225">AK350</f>
        <v>199</v>
      </c>
      <c r="CE350" s="113">
        <f t="shared" ref="CE350" si="3226">AO350</f>
        <v>240</v>
      </c>
      <c r="CF350" s="114">
        <f t="shared" ref="CF350" si="3227">AS350</f>
        <v>284</v>
      </c>
      <c r="CG350" s="113">
        <f t="shared" ref="CG350" si="3228">AW350</f>
        <v>310</v>
      </c>
      <c r="CH350" s="111">
        <f t="shared" ref="CH350" si="3229">G350</f>
        <v>65</v>
      </c>
      <c r="CI350" s="113">
        <f t="shared" ref="CI350" si="3230">K350</f>
        <v>69</v>
      </c>
      <c r="CJ350" s="114">
        <f t="shared" ref="CJ350" si="3231">O350</f>
        <v>101</v>
      </c>
      <c r="CK350" s="114">
        <f t="shared" ref="CK350" si="3232">S350</f>
        <v>105</v>
      </c>
      <c r="CL350" s="114">
        <f t="shared" ref="CL350" si="3233">W350</f>
        <v>141</v>
      </c>
      <c r="CM350" s="114" t="str">
        <f t="shared" ref="CM350" si="3234">AA350</f>
        <v>-</v>
      </c>
      <c r="CN350" s="114">
        <f t="shared" ref="CN350" si="3235">AE350</f>
        <v>173</v>
      </c>
      <c r="CO350" s="114">
        <f t="shared" ref="CO350" si="3236">AI350</f>
        <v>189</v>
      </c>
      <c r="CP350" s="114">
        <f t="shared" ref="CP350" si="3237">AM350</f>
        <v>237</v>
      </c>
      <c r="CQ350" s="114">
        <f t="shared" ref="CQ350" si="3238">AQ350</f>
        <v>278</v>
      </c>
      <c r="CR350" s="114">
        <f t="shared" ref="CR350" si="3239">AU350</f>
        <v>309</v>
      </c>
      <c r="CS350" s="114">
        <f t="shared" ref="CS350" si="3240">AY350</f>
        <v>322</v>
      </c>
      <c r="CT350" s="109">
        <f t="shared" ref="CT350" si="3241">M350-K350</f>
        <v>4</v>
      </c>
    </row>
    <row r="351" spans="1:1029" x14ac:dyDescent="0.2">
      <c r="A351" s="3" t="str">
        <f t="shared" si="2960"/>
        <v>opsd_human__wt</v>
      </c>
      <c r="B351" s="3" t="s">
        <v>338</v>
      </c>
      <c r="C351" s="3" t="s">
        <v>100</v>
      </c>
      <c r="D351" s="3" t="str">
        <f>IFERROR(MID(VLOOKUP($B351,Seqs!$A:$B,2,0),E351,1),"")</f>
        <v>P</v>
      </c>
      <c r="E351" s="3">
        <v>34</v>
      </c>
      <c r="F351" s="3" t="str">
        <f>IFERROR(MID(VLOOKUP($B351,Seqs!$A:$B,2,0),G351,1),"")</f>
        <v>H</v>
      </c>
      <c r="G351" s="3">
        <v>65</v>
      </c>
      <c r="H351" s="3" t="str">
        <f>IFERROR(MID(VLOOKUP($B351,Seqs!$A:$B,2,0),I351,1),"")</f>
        <v>K</v>
      </c>
      <c r="I351" s="23">
        <v>66</v>
      </c>
      <c r="J351" s="3" t="str">
        <f>IFERROR(MID(VLOOKUP($B351,Seqs!$A:$B,2,0),K351,1),"")</f>
        <v>R</v>
      </c>
      <c r="K351" s="23">
        <v>69</v>
      </c>
      <c r="L351" s="3" t="str">
        <f>IFERROR(MID(VLOOKUP($B351,Seqs!$A:$B,2,0),M351,1),"")</f>
        <v>T</v>
      </c>
      <c r="M351" s="3">
        <v>70</v>
      </c>
      <c r="N351" s="3" t="str">
        <f>IFERROR(MID(VLOOKUP($B351,Seqs!$A:$B,2,0),O351,1),"")</f>
        <v>H</v>
      </c>
      <c r="O351" s="3">
        <v>100</v>
      </c>
      <c r="P351" s="3" t="str">
        <f>IFERROR(MID(VLOOKUP($B351,Seqs!$A:$B,2,0),Q351,1),"")</f>
        <v>Y</v>
      </c>
      <c r="Q351" s="3">
        <v>102</v>
      </c>
      <c r="R351" s="3" t="str">
        <f>IFERROR(MID(VLOOKUP($B351,Seqs!$A:$B,2,0),S351,1),"")</f>
        <v>F</v>
      </c>
      <c r="S351" s="3">
        <v>105</v>
      </c>
      <c r="T351" s="3" t="str">
        <f>IFERROR(MID(VLOOKUP($B351,Seqs!$A:$B,2,0),U351,1),"")</f>
        <v>G</v>
      </c>
      <c r="U351" s="3">
        <v>106</v>
      </c>
      <c r="V351" s="3" t="str">
        <f>IFERROR(MID(VLOOKUP($B351,Seqs!$A:$B,2,0),W351,1),"")</f>
        <v>K</v>
      </c>
      <c r="W351" s="3">
        <v>141</v>
      </c>
      <c r="X351" s="3" t="str">
        <f>IFERROR(MID(VLOOKUP($B351,Seqs!$A:$B,2,0),Y351,1),"")</f>
        <v>P</v>
      </c>
      <c r="Y351" s="3">
        <v>142</v>
      </c>
      <c r="Z351" s="3" t="str">
        <f>IFERROR(MID(VLOOKUP($B351,Seqs!$A:$B,2,0),AA351,1),"")</f>
        <v>F</v>
      </c>
      <c r="AA351" s="3">
        <v>148</v>
      </c>
      <c r="AB351" s="3" t="str">
        <f>IFERROR(MID(VLOOKUP($B351,Seqs!$A:$B,2,0),AC351,1),"")</f>
        <v>G</v>
      </c>
      <c r="AC351" s="9">
        <v>149</v>
      </c>
      <c r="AD351" s="3" t="str">
        <f>IFERROR(MID(VLOOKUP($B351,Seqs!$A:$B,2,0),AE351,1),"")</f>
        <v>A</v>
      </c>
      <c r="AE351" s="3">
        <v>173</v>
      </c>
      <c r="AF351" s="3" t="str">
        <f>IFERROR(MID(VLOOKUP($B351,Seqs!$A:$B,2,0),AG351,1),"")</f>
        <v>C</v>
      </c>
      <c r="AG351" s="3">
        <v>187</v>
      </c>
      <c r="AH351" s="3" t="str">
        <f>IFERROR(MID(VLOOKUP($B351,Seqs!$A:$B,2,0),AI351,1),"")</f>
        <v>I</v>
      </c>
      <c r="AI351" s="3">
        <v>189</v>
      </c>
      <c r="AJ351" s="3" t="str">
        <f>IFERROR(MID(VLOOKUP($B351,Seqs!$A:$B,2,0),AK351,1),"")</f>
        <v>N</v>
      </c>
      <c r="AK351" s="3">
        <v>199</v>
      </c>
      <c r="AL351" s="3" t="str">
        <f>IFERROR(MID(VLOOKUP($B351,Seqs!$A:$B,2,0),AM351,1),"")</f>
        <v>Q</v>
      </c>
      <c r="AM351" s="3">
        <v>237</v>
      </c>
      <c r="AN351" s="3" t="str">
        <f>IFERROR(MID(VLOOKUP($B351,Seqs!$A:$B,2,0),AO351,1),"")</f>
        <v>A</v>
      </c>
      <c r="AO351" s="3">
        <v>241</v>
      </c>
      <c r="AP351" s="3" t="str">
        <f>IFERROR(MID(VLOOKUP($B351,Seqs!$A:$B,2,0),AQ351,1),"")</f>
        <v>H</v>
      </c>
      <c r="AQ351" s="3">
        <v>278</v>
      </c>
      <c r="AR351" s="3" t="str">
        <f>IFERROR(MID(VLOOKUP($B351,Seqs!$A:$B,2,0),AS351,1),"")</f>
        <v>G</v>
      </c>
      <c r="AS351" s="3">
        <v>284</v>
      </c>
      <c r="AT351" s="3" t="str">
        <f>IFERROR(MID(VLOOKUP($B351,Seqs!$A:$B,2,0),AU351,1),"")</f>
        <v>M</v>
      </c>
      <c r="AU351" s="3">
        <v>309</v>
      </c>
      <c r="AV351" s="3" t="str">
        <f>IFERROR(MID(VLOOKUP($B351,Seqs!$A:$B,2,0),AW351,1),"")</f>
        <v>N</v>
      </c>
      <c r="AW351" s="3">
        <v>310</v>
      </c>
      <c r="AX351" s="3" t="str">
        <f>IFERROR(MID(VLOOKUP($B351,Seqs!$A:$B,2,0),AY351,1),"")</f>
        <v>C</v>
      </c>
      <c r="AY351" s="3">
        <v>322</v>
      </c>
      <c r="AZ351" s="77" t="str">
        <f>VLOOKUP(B351,Classification!A:D,2,0)</f>
        <v>A</v>
      </c>
      <c r="BA351" s="94" t="str">
        <f>VLOOKUP(B351,Classification!A:D,4,0)</f>
        <v>Opsins</v>
      </c>
      <c r="BB351" s="27" t="b">
        <f t="shared" si="2961"/>
        <v>1</v>
      </c>
      <c r="BC351" s="23">
        <f t="shared" si="2934"/>
        <v>258</v>
      </c>
      <c r="BD351" s="56" t="s">
        <v>23</v>
      </c>
      <c r="BE351" s="3" t="s">
        <v>23</v>
      </c>
      <c r="BF351" s="118" t="s">
        <v>23</v>
      </c>
      <c r="BG351" s="49" t="s">
        <v>1368</v>
      </c>
      <c r="BH351" s="49" t="s">
        <v>1373</v>
      </c>
      <c r="BI351" s="1"/>
      <c r="BJ351" s="70" t="s">
        <v>1283</v>
      </c>
      <c r="BK351" s="57" t="s">
        <v>1283</v>
      </c>
      <c r="BL351" s="57" t="s">
        <v>1283</v>
      </c>
      <c r="BM351" s="57" t="s">
        <v>1283</v>
      </c>
      <c r="BN351" s="57" t="s">
        <v>1283</v>
      </c>
      <c r="BO351" s="57" t="s">
        <v>1283</v>
      </c>
      <c r="BP351" s="57" t="s">
        <v>1283</v>
      </c>
      <c r="BQ351" s="57" t="s">
        <v>1283</v>
      </c>
      <c r="BR351" s="57" t="s">
        <v>1283</v>
      </c>
      <c r="BS351" s="57" t="s">
        <v>1283</v>
      </c>
      <c r="BT351" s="57" t="s">
        <v>1283</v>
      </c>
      <c r="BU351" s="57" t="s">
        <v>1283</v>
      </c>
      <c r="BV351" s="70">
        <f t="shared" si="2935"/>
        <v>34</v>
      </c>
      <c r="BW351" s="71">
        <f t="shared" si="2936"/>
        <v>66</v>
      </c>
      <c r="BX351" s="72">
        <f t="shared" si="2937"/>
        <v>70</v>
      </c>
      <c r="BY351" s="71">
        <f t="shared" si="2938"/>
        <v>102</v>
      </c>
      <c r="BZ351" s="72">
        <f t="shared" si="2939"/>
        <v>106</v>
      </c>
      <c r="CA351" s="71">
        <f t="shared" si="2940"/>
        <v>142</v>
      </c>
      <c r="CB351" s="72">
        <f t="shared" si="2941"/>
        <v>149</v>
      </c>
      <c r="CC351" s="71">
        <f t="shared" si="2942"/>
        <v>187</v>
      </c>
      <c r="CD351" s="72">
        <f t="shared" si="2943"/>
        <v>199</v>
      </c>
      <c r="CE351" s="71">
        <f t="shared" si="2944"/>
        <v>241</v>
      </c>
      <c r="CF351" s="72">
        <f t="shared" si="2945"/>
        <v>284</v>
      </c>
      <c r="CG351" s="71">
        <f t="shared" si="2946"/>
        <v>310</v>
      </c>
      <c r="CH351" s="70">
        <f t="shared" si="2947"/>
        <v>65</v>
      </c>
      <c r="CI351" s="71">
        <f t="shared" si="2948"/>
        <v>69</v>
      </c>
      <c r="CJ351" s="72">
        <f t="shared" si="2949"/>
        <v>100</v>
      </c>
      <c r="CK351" s="72">
        <f t="shared" si="2950"/>
        <v>105</v>
      </c>
      <c r="CL351" s="72">
        <f t="shared" si="2951"/>
        <v>141</v>
      </c>
      <c r="CM351" s="72">
        <f t="shared" si="2952"/>
        <v>148</v>
      </c>
      <c r="CN351" s="72">
        <f t="shared" si="2953"/>
        <v>173</v>
      </c>
      <c r="CO351" s="72">
        <f t="shared" si="2954"/>
        <v>189</v>
      </c>
      <c r="CP351" s="72">
        <f t="shared" si="2955"/>
        <v>237</v>
      </c>
      <c r="CQ351" s="72">
        <f t="shared" si="2956"/>
        <v>278</v>
      </c>
      <c r="CR351" s="72">
        <f t="shared" si="2957"/>
        <v>309</v>
      </c>
      <c r="CS351" s="72">
        <f t="shared" si="2958"/>
        <v>322</v>
      </c>
      <c r="CT351" s="23">
        <f t="shared" si="2959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 t="shared" si="2960"/>
        <v>opsd_human_4ZWJ</v>
      </c>
      <c r="B352" s="3" t="s">
        <v>338</v>
      </c>
      <c r="C352" s="3" t="s">
        <v>55</v>
      </c>
      <c r="D352" s="3" t="str">
        <f>IFERROR(MID(VLOOKUP($B352,Seqs!$A:$B,2,0),E352,1),"")</f>
        <v>P</v>
      </c>
      <c r="E352" s="3">
        <v>34</v>
      </c>
      <c r="F352" s="3" t="str">
        <f>IFERROR(MID(VLOOKUP($B352,Seqs!$A:$B,2,0),G352,1),"")</f>
        <v>H</v>
      </c>
      <c r="G352" s="3">
        <v>65</v>
      </c>
      <c r="H352" s="3" t="str">
        <f>IFERROR(MID(VLOOKUP($B352,Seqs!$A:$B,2,0),I352,1),"")</f>
        <v>K</v>
      </c>
      <c r="I352" s="23">
        <v>66</v>
      </c>
      <c r="J352" s="3" t="str">
        <f>IFERROR(MID(VLOOKUP($B352,Seqs!$A:$B,2,0),K352,1),"")</f>
        <v>R</v>
      </c>
      <c r="K352" s="23">
        <v>69</v>
      </c>
      <c r="L352" s="3" t="str">
        <f>IFERROR(MID(VLOOKUP($B352,Seqs!$A:$B,2,0),M352,1),"")</f>
        <v>T</v>
      </c>
      <c r="M352" s="3">
        <v>70</v>
      </c>
      <c r="N352" s="3" t="str">
        <f>IFERROR(MID(VLOOKUP($B352,Seqs!$A:$B,2,0),O352,1),"")</f>
        <v>H</v>
      </c>
      <c r="O352" s="3">
        <v>100</v>
      </c>
      <c r="P352" s="3" t="str">
        <f>IFERROR(MID(VLOOKUP($B352,Seqs!$A:$B,2,0),Q352,1),"")</f>
        <v>Y</v>
      </c>
      <c r="Q352" s="3">
        <v>102</v>
      </c>
      <c r="R352" s="3" t="str">
        <f>IFERROR(MID(VLOOKUP($B352,Seqs!$A:$B,2,0),S352,1),"")</f>
        <v>F</v>
      </c>
      <c r="S352" s="3">
        <v>105</v>
      </c>
      <c r="T352" s="3" t="str">
        <f>IFERROR(MID(VLOOKUP($B352,Seqs!$A:$B,2,0),U352,1),"")</f>
        <v>G</v>
      </c>
      <c r="U352" s="3">
        <v>106</v>
      </c>
      <c r="V352" s="3" t="str">
        <f>IFERROR(MID(VLOOKUP($B352,Seqs!$A:$B,2,0),W352,1),"")</f>
        <v>K</v>
      </c>
      <c r="W352" s="3">
        <v>141</v>
      </c>
      <c r="X352" s="3" t="str">
        <f>IFERROR(MID(VLOOKUP($B352,Seqs!$A:$B,2,0),Y352,1),"")</f>
        <v>P</v>
      </c>
      <c r="Y352" s="3">
        <v>142</v>
      </c>
      <c r="Z352" s="3" t="str">
        <f>IFERROR(MID(VLOOKUP($B352,Seqs!$A:$B,2,0),AA352,1),"")</f>
        <v>F</v>
      </c>
      <c r="AA352" s="3">
        <v>148</v>
      </c>
      <c r="AB352" s="3" t="str">
        <f>IFERROR(MID(VLOOKUP($B352,Seqs!$A:$B,2,0),AC352,1),"")</f>
        <v>G</v>
      </c>
      <c r="AC352" s="9">
        <v>149</v>
      </c>
      <c r="AD352" s="3" t="str">
        <f>IFERROR(MID(VLOOKUP($B352,Seqs!$A:$B,2,0),AE352,1),"")</f>
        <v>A</v>
      </c>
      <c r="AE352" s="3">
        <v>173</v>
      </c>
      <c r="AF352" s="3" t="str">
        <f>IFERROR(MID(VLOOKUP($B352,Seqs!$A:$B,2,0),AG352,1),"")</f>
        <v>C</v>
      </c>
      <c r="AG352" s="3">
        <v>187</v>
      </c>
      <c r="AH352" s="3" t="str">
        <f>IFERROR(MID(VLOOKUP($B352,Seqs!$A:$B,2,0),AI352,1),"")</f>
        <v>I</v>
      </c>
      <c r="AI352" s="3">
        <v>189</v>
      </c>
      <c r="AJ352" s="3" t="str">
        <f>IFERROR(MID(VLOOKUP($B352,Seqs!$A:$B,2,0),AK352,1),"")</f>
        <v>N</v>
      </c>
      <c r="AK352" s="3">
        <v>199</v>
      </c>
      <c r="AL352" s="3" t="str">
        <f>IFERROR(MID(VLOOKUP($B352,Seqs!$A:$B,2,0),AM352,1),"")</f>
        <v>Q</v>
      </c>
      <c r="AM352" s="3">
        <v>237</v>
      </c>
      <c r="AN352" s="3" t="str">
        <f>IFERROR(MID(VLOOKUP($B352,Seqs!$A:$B,2,0),AO352,1),"")</f>
        <v>A</v>
      </c>
      <c r="AO352" s="3">
        <v>241</v>
      </c>
      <c r="AP352" s="3" t="str">
        <f>IFERROR(MID(VLOOKUP($B352,Seqs!$A:$B,2,0),AQ352,1),"")</f>
        <v>H</v>
      </c>
      <c r="AQ352" s="3">
        <v>278</v>
      </c>
      <c r="AR352" s="3" t="str">
        <f>IFERROR(MID(VLOOKUP($B352,Seqs!$A:$B,2,0),AS352,1),"")</f>
        <v>G</v>
      </c>
      <c r="AS352" s="3">
        <v>284</v>
      </c>
      <c r="AT352" s="3" t="str">
        <f>IFERROR(MID(VLOOKUP($B352,Seqs!$A:$B,2,0),AU352,1),"")</f>
        <v>M</v>
      </c>
      <c r="AU352" s="3">
        <v>309</v>
      </c>
      <c r="AV352" s="3" t="str">
        <f>IFERROR(MID(VLOOKUP($B352,Seqs!$A:$B,2,0),AW352,1),"")</f>
        <v>N</v>
      </c>
      <c r="AW352" s="3">
        <v>310</v>
      </c>
      <c r="AX352" s="3" t="str">
        <f>IFERROR(MID(VLOOKUP($B352,Seqs!$A:$B,2,0),AY352,1),"")</f>
        <v>C</v>
      </c>
      <c r="AY352" s="3">
        <v>322</v>
      </c>
      <c r="AZ352" s="77" t="str">
        <f>VLOOKUP(B352,Classification!A:D,2,0)</f>
        <v>A</v>
      </c>
      <c r="BA352" s="94" t="str">
        <f>VLOOKUP(B352,Classification!A:D,4,0)</f>
        <v>Opsins</v>
      </c>
      <c r="BB352" s="27" t="b">
        <f t="shared" si="2961"/>
        <v>1</v>
      </c>
      <c r="BC352" s="23">
        <f t="shared" si="2934"/>
        <v>258</v>
      </c>
      <c r="BD352" s="2" t="s">
        <v>1371</v>
      </c>
      <c r="BE352" s="3" t="s">
        <v>1287</v>
      </c>
      <c r="BF352" s="118">
        <v>3.3</v>
      </c>
      <c r="BG352" s="49" t="s">
        <v>1373</v>
      </c>
      <c r="BH352" s="49" t="s">
        <v>1373</v>
      </c>
      <c r="BI352" s="1"/>
      <c r="BJ352" s="70" t="s">
        <v>1283</v>
      </c>
      <c r="BK352" s="57" t="s">
        <v>1283</v>
      </c>
      <c r="BL352" s="57" t="s">
        <v>1283</v>
      </c>
      <c r="BM352" s="57" t="s">
        <v>1283</v>
      </c>
      <c r="BN352" s="57" t="s">
        <v>1283</v>
      </c>
      <c r="BO352" s="57" t="s">
        <v>1283</v>
      </c>
      <c r="BP352" s="57" t="s">
        <v>1283</v>
      </c>
      <c r="BQ352" s="57" t="s">
        <v>1283</v>
      </c>
      <c r="BR352" s="57" t="s">
        <v>1283</v>
      </c>
      <c r="BS352" s="57" t="s">
        <v>1283</v>
      </c>
      <c r="BT352" s="57" t="s">
        <v>1283</v>
      </c>
      <c r="BU352" s="57" t="s">
        <v>1283</v>
      </c>
      <c r="BV352" s="70">
        <f t="shared" si="2935"/>
        <v>34</v>
      </c>
      <c r="BW352" s="71">
        <f t="shared" si="2936"/>
        <v>66</v>
      </c>
      <c r="BX352" s="72">
        <f t="shared" si="2937"/>
        <v>70</v>
      </c>
      <c r="BY352" s="71">
        <f t="shared" si="2938"/>
        <v>102</v>
      </c>
      <c r="BZ352" s="72">
        <f t="shared" si="2939"/>
        <v>106</v>
      </c>
      <c r="CA352" s="71">
        <f t="shared" si="2940"/>
        <v>142</v>
      </c>
      <c r="CB352" s="72">
        <f t="shared" si="2941"/>
        <v>149</v>
      </c>
      <c r="CC352" s="71">
        <f t="shared" si="2942"/>
        <v>187</v>
      </c>
      <c r="CD352" s="72">
        <f t="shared" si="2943"/>
        <v>199</v>
      </c>
      <c r="CE352" s="71">
        <f t="shared" si="2944"/>
        <v>241</v>
      </c>
      <c r="CF352" s="72">
        <f t="shared" si="2945"/>
        <v>284</v>
      </c>
      <c r="CG352" s="71">
        <f t="shared" si="2946"/>
        <v>310</v>
      </c>
      <c r="CH352" s="70">
        <f t="shared" si="2947"/>
        <v>65</v>
      </c>
      <c r="CI352" s="71">
        <f t="shared" si="2948"/>
        <v>69</v>
      </c>
      <c r="CJ352" s="72">
        <f t="shared" si="2949"/>
        <v>100</v>
      </c>
      <c r="CK352" s="72">
        <f t="shared" si="2950"/>
        <v>105</v>
      </c>
      <c r="CL352" s="72">
        <f t="shared" si="2951"/>
        <v>141</v>
      </c>
      <c r="CM352" s="72">
        <f t="shared" si="2952"/>
        <v>148</v>
      </c>
      <c r="CN352" s="72">
        <f t="shared" si="2953"/>
        <v>173</v>
      </c>
      <c r="CO352" s="72">
        <f t="shared" si="2954"/>
        <v>189</v>
      </c>
      <c r="CP352" s="72">
        <f t="shared" si="2955"/>
        <v>237</v>
      </c>
      <c r="CQ352" s="72">
        <f t="shared" si="2956"/>
        <v>278</v>
      </c>
      <c r="CR352" s="72">
        <f t="shared" si="2957"/>
        <v>309</v>
      </c>
      <c r="CS352" s="72">
        <f t="shared" si="2958"/>
        <v>322</v>
      </c>
      <c r="CT352" s="23">
        <f t="shared" si="2959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x14ac:dyDescent="0.2">
      <c r="A353" s="3" t="str">
        <f t="shared" si="2960"/>
        <v>opsd_human_5DGY</v>
      </c>
      <c r="B353" s="3" t="s">
        <v>338</v>
      </c>
      <c r="C353" s="3" t="s">
        <v>1430</v>
      </c>
      <c r="D353" s="3" t="str">
        <f>IFERROR(MID(VLOOKUP($B353,Seqs!$A:$B,2,0),E353,1),"")</f>
        <v>P</v>
      </c>
      <c r="E353" s="3">
        <v>34</v>
      </c>
      <c r="F353" s="3" t="str">
        <f>IFERROR(MID(VLOOKUP($B353,Seqs!$A:$B,2,0),G353,1),"")</f>
        <v>H</v>
      </c>
      <c r="G353" s="3">
        <v>65</v>
      </c>
      <c r="H353" s="3" t="str">
        <f>IFERROR(MID(VLOOKUP($B353,Seqs!$A:$B,2,0),I353,1),"")</f>
        <v>K</v>
      </c>
      <c r="I353" s="23">
        <v>66</v>
      </c>
      <c r="J353" s="3" t="str">
        <f>IFERROR(MID(VLOOKUP($B353,Seqs!$A:$B,2,0),K353,1),"")</f>
        <v>R</v>
      </c>
      <c r="K353" s="23">
        <v>69</v>
      </c>
      <c r="L353" s="3" t="str">
        <f>IFERROR(MID(VLOOKUP($B353,Seqs!$A:$B,2,0),M353,1),"")</f>
        <v>T</v>
      </c>
      <c r="M353" s="3">
        <v>70</v>
      </c>
      <c r="N353" s="3" t="str">
        <f>IFERROR(MID(VLOOKUP($B353,Seqs!$A:$B,2,0),O353,1),"")</f>
        <v>H</v>
      </c>
      <c r="O353" s="3">
        <v>100</v>
      </c>
      <c r="P353" s="3" t="str">
        <f>IFERROR(MID(VLOOKUP($B353,Seqs!$A:$B,2,0),Q353,1),"")</f>
        <v>Y</v>
      </c>
      <c r="Q353" s="3">
        <v>102</v>
      </c>
      <c r="R353" s="3" t="str">
        <f>IFERROR(MID(VLOOKUP($B353,Seqs!$A:$B,2,0),S353,1),"")</f>
        <v>F</v>
      </c>
      <c r="S353" s="3">
        <v>105</v>
      </c>
      <c r="T353" s="3" t="str">
        <f>IFERROR(MID(VLOOKUP($B353,Seqs!$A:$B,2,0),U353,1),"")</f>
        <v>G</v>
      </c>
      <c r="U353" s="3">
        <v>106</v>
      </c>
      <c r="V353" s="3" t="str">
        <f>IFERROR(MID(VLOOKUP($B353,Seqs!$A:$B,2,0),W353,1),"")</f>
        <v>K</v>
      </c>
      <c r="W353" s="3">
        <v>141</v>
      </c>
      <c r="X353" s="3" t="str">
        <f>IFERROR(MID(VLOOKUP($B353,Seqs!$A:$B,2,0),Y353,1),"")</f>
        <v>P</v>
      </c>
      <c r="Y353" s="3">
        <v>142</v>
      </c>
      <c r="Z353" s="3" t="str">
        <f>IFERROR(MID(VLOOKUP($B353,Seqs!$A:$B,2,0),AA353,1),"")</f>
        <v>F</v>
      </c>
      <c r="AA353" s="3">
        <v>148</v>
      </c>
      <c r="AB353" s="3" t="str">
        <f>IFERROR(MID(VLOOKUP($B353,Seqs!$A:$B,2,0),AC353,1),"")</f>
        <v>G</v>
      </c>
      <c r="AC353" s="3">
        <v>149</v>
      </c>
      <c r="AD353" s="3" t="str">
        <f>IFERROR(MID(VLOOKUP($B353,Seqs!$A:$B,2,0),AE353,1),"")</f>
        <v>A</v>
      </c>
      <c r="AE353" s="3">
        <v>173</v>
      </c>
      <c r="AF353" s="3" t="str">
        <f>IFERROR(MID(VLOOKUP($B353,Seqs!$A:$B,2,0),AG353,1),"")</f>
        <v>C</v>
      </c>
      <c r="AG353" s="3">
        <v>187</v>
      </c>
      <c r="AH353" s="3" t="str">
        <f>IFERROR(MID(VLOOKUP($B353,Seqs!$A:$B,2,0),AI353,1),"")</f>
        <v>I</v>
      </c>
      <c r="AI353" s="3">
        <v>189</v>
      </c>
      <c r="AJ353" s="3" t="str">
        <f>IFERROR(MID(VLOOKUP($B353,Seqs!$A:$B,2,0),AK353,1),"")</f>
        <v>N</v>
      </c>
      <c r="AK353" s="3">
        <v>199</v>
      </c>
      <c r="AL353" s="3" t="str">
        <f>IFERROR(MID(VLOOKUP($B353,Seqs!$A:$B,2,0),AM353,1),"")</f>
        <v>Q</v>
      </c>
      <c r="AM353" s="3">
        <v>237</v>
      </c>
      <c r="AN353" s="3" t="str">
        <f>IFERROR(MID(VLOOKUP($B353,Seqs!$A:$B,2,0),AO353,1),"")</f>
        <v>A</v>
      </c>
      <c r="AO353" s="3">
        <v>241</v>
      </c>
      <c r="AP353" s="3" t="str">
        <f>IFERROR(MID(VLOOKUP($B353,Seqs!$A:$B,2,0),AQ353,1),"")</f>
        <v>H</v>
      </c>
      <c r="AQ353" s="3">
        <v>278</v>
      </c>
      <c r="AR353" s="3" t="str">
        <f>IFERROR(MID(VLOOKUP($B353,Seqs!$A:$B,2,0),AS353,1),"")</f>
        <v>G</v>
      </c>
      <c r="AS353" s="3">
        <v>284</v>
      </c>
      <c r="AT353" s="3" t="str">
        <f>IFERROR(MID(VLOOKUP($B353,Seqs!$A:$B,2,0),AU353,1),"")</f>
        <v>M</v>
      </c>
      <c r="AU353" s="3">
        <v>309</v>
      </c>
      <c r="AV353" s="3" t="str">
        <f>IFERROR(MID(VLOOKUP($B353,Seqs!$A:$B,2,0),AW353,1),"")</f>
        <v>N</v>
      </c>
      <c r="AW353" s="3">
        <v>310</v>
      </c>
      <c r="AX353" s="3" t="str">
        <f>IFERROR(MID(VLOOKUP($B353,Seqs!$A:$B,2,0),AY353,1),"")</f>
        <v>C</v>
      </c>
      <c r="AY353" s="3">
        <v>322</v>
      </c>
      <c r="AZ353" s="77" t="str">
        <f>VLOOKUP(B353,Classification!A:D,2,0)</f>
        <v>A</v>
      </c>
      <c r="BA353" s="94" t="str">
        <f>VLOOKUP(B353,Classification!A:D,4,0)</f>
        <v>Opsins</v>
      </c>
      <c r="BB353" s="27" t="b">
        <f t="shared" si="2961"/>
        <v>1</v>
      </c>
      <c r="BC353" s="23">
        <f t="shared" si="2934"/>
        <v>258</v>
      </c>
      <c r="BD353" s="2" t="s">
        <v>23</v>
      </c>
      <c r="BE353" s="3" t="s">
        <v>1287</v>
      </c>
      <c r="BF353" s="118">
        <v>7.7</v>
      </c>
      <c r="BG353" s="49" t="s">
        <v>1429</v>
      </c>
      <c r="BH353" s="49" t="s">
        <v>1429</v>
      </c>
      <c r="BI353" s="1"/>
      <c r="BJ353" s="70" t="s">
        <v>1283</v>
      </c>
      <c r="BK353" s="57" t="s">
        <v>1283</v>
      </c>
      <c r="BL353" s="57" t="s">
        <v>1283</v>
      </c>
      <c r="BM353" s="57" t="s">
        <v>1283</v>
      </c>
      <c r="BN353" s="57" t="s">
        <v>1283</v>
      </c>
      <c r="BO353" s="57" t="s">
        <v>1283</v>
      </c>
      <c r="BP353" s="57" t="s">
        <v>1283</v>
      </c>
      <c r="BQ353" s="57" t="s">
        <v>1283</v>
      </c>
      <c r="BR353" s="57" t="s">
        <v>1283</v>
      </c>
      <c r="BS353" s="57" t="s">
        <v>1283</v>
      </c>
      <c r="BT353" s="57" t="s">
        <v>1283</v>
      </c>
      <c r="BU353" s="57" t="s">
        <v>1283</v>
      </c>
      <c r="BV353" s="70">
        <f t="shared" si="2935"/>
        <v>34</v>
      </c>
      <c r="BW353" s="71">
        <f t="shared" si="2936"/>
        <v>66</v>
      </c>
      <c r="BX353" s="72">
        <f t="shared" si="2937"/>
        <v>70</v>
      </c>
      <c r="BY353" s="71">
        <f t="shared" si="2938"/>
        <v>102</v>
      </c>
      <c r="BZ353" s="72">
        <f t="shared" si="2939"/>
        <v>106</v>
      </c>
      <c r="CA353" s="71">
        <f t="shared" si="2940"/>
        <v>142</v>
      </c>
      <c r="CB353" s="72">
        <f t="shared" si="2941"/>
        <v>149</v>
      </c>
      <c r="CC353" s="71">
        <f t="shared" si="2942"/>
        <v>187</v>
      </c>
      <c r="CD353" s="72">
        <f t="shared" si="2943"/>
        <v>199</v>
      </c>
      <c r="CE353" s="71">
        <f t="shared" si="2944"/>
        <v>241</v>
      </c>
      <c r="CF353" s="72">
        <f t="shared" si="2945"/>
        <v>284</v>
      </c>
      <c r="CG353" s="71">
        <f t="shared" si="2946"/>
        <v>310</v>
      </c>
      <c r="CH353" s="70">
        <f t="shared" si="2947"/>
        <v>65</v>
      </c>
      <c r="CI353" s="71">
        <f t="shared" si="2948"/>
        <v>69</v>
      </c>
      <c r="CJ353" s="72">
        <f t="shared" si="2949"/>
        <v>100</v>
      </c>
      <c r="CK353" s="72">
        <f t="shared" si="2950"/>
        <v>105</v>
      </c>
      <c r="CL353" s="72">
        <f t="shared" si="2951"/>
        <v>141</v>
      </c>
      <c r="CM353" s="72">
        <f t="shared" si="2952"/>
        <v>148</v>
      </c>
      <c r="CN353" s="72">
        <f t="shared" si="2953"/>
        <v>173</v>
      </c>
      <c r="CO353" s="72">
        <f t="shared" si="2954"/>
        <v>189</v>
      </c>
      <c r="CP353" s="72">
        <f t="shared" si="2955"/>
        <v>237</v>
      </c>
      <c r="CQ353" s="72">
        <f t="shared" si="2956"/>
        <v>278</v>
      </c>
      <c r="CR353" s="72">
        <f t="shared" si="2957"/>
        <v>309</v>
      </c>
      <c r="CS353" s="72">
        <f t="shared" si="2958"/>
        <v>322</v>
      </c>
      <c r="CT353" s="23">
        <f t="shared" si="2959"/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30" x14ac:dyDescent="0.2">
      <c r="A354" s="3" t="str">
        <f>CONCATENATE(B354,"_",C354)</f>
        <v>opsd_human_5W0P</v>
      </c>
      <c r="B354" s="3" t="s">
        <v>338</v>
      </c>
      <c r="C354" s="3" t="s">
        <v>1428</v>
      </c>
      <c r="D354" s="3" t="str">
        <f>IFERROR(MID(VLOOKUP($B354,Seqs!$A:$B,2,0),E354,1),"")</f>
        <v>P</v>
      </c>
      <c r="E354" s="3">
        <v>34</v>
      </c>
      <c r="F354" s="3" t="str">
        <f>IFERROR(MID(VLOOKUP($B354,Seqs!$A:$B,2,0),G354,1),"")</f>
        <v>H</v>
      </c>
      <c r="G354" s="3">
        <v>65</v>
      </c>
      <c r="H354" s="3" t="str">
        <f>IFERROR(MID(VLOOKUP($B354,Seqs!$A:$B,2,0),I354,1),"")</f>
        <v>K</v>
      </c>
      <c r="I354" s="23">
        <v>66</v>
      </c>
      <c r="J354" s="3" t="str">
        <f>IFERROR(MID(VLOOKUP($B354,Seqs!$A:$B,2,0),K354,1),"")</f>
        <v>R</v>
      </c>
      <c r="K354" s="23">
        <v>69</v>
      </c>
      <c r="L354" s="3" t="str">
        <f>IFERROR(MID(VLOOKUP($B354,Seqs!$A:$B,2,0),M354,1),"")</f>
        <v>T</v>
      </c>
      <c r="M354" s="3">
        <v>70</v>
      </c>
      <c r="N354" s="3" t="str">
        <f>IFERROR(MID(VLOOKUP($B354,Seqs!$A:$B,2,0),O354,1),"")</f>
        <v>H</v>
      </c>
      <c r="O354" s="3">
        <v>100</v>
      </c>
      <c r="P354" s="3" t="str">
        <f>IFERROR(MID(VLOOKUP($B354,Seqs!$A:$B,2,0),Q354,1),"")</f>
        <v>Y</v>
      </c>
      <c r="Q354" s="3">
        <v>102</v>
      </c>
      <c r="R354" s="3" t="str">
        <f>IFERROR(MID(VLOOKUP($B354,Seqs!$A:$B,2,0),S354,1),"")</f>
        <v>F</v>
      </c>
      <c r="S354" s="3">
        <v>105</v>
      </c>
      <c r="T354" s="3" t="str">
        <f>IFERROR(MID(VLOOKUP($B354,Seqs!$A:$B,2,0),U354,1),"")</f>
        <v>G</v>
      </c>
      <c r="U354" s="3">
        <v>106</v>
      </c>
      <c r="V354" s="3" t="str">
        <f>IFERROR(MID(VLOOKUP($B354,Seqs!$A:$B,2,0),W354,1),"")</f>
        <v>K</v>
      </c>
      <c r="W354" s="3">
        <v>141</v>
      </c>
      <c r="X354" s="3" t="str">
        <f>IFERROR(MID(VLOOKUP($B354,Seqs!$A:$B,2,0),Y354,1),"")</f>
        <v>P</v>
      </c>
      <c r="Y354" s="3">
        <v>142</v>
      </c>
      <c r="Z354" s="3" t="str">
        <f>IFERROR(MID(VLOOKUP($B354,Seqs!$A:$B,2,0),AA354,1),"")</f>
        <v>F</v>
      </c>
      <c r="AA354" s="3">
        <v>148</v>
      </c>
      <c r="AB354" s="3" t="str">
        <f>IFERROR(MID(VLOOKUP($B354,Seqs!$A:$B,2,0),AC354,1),"")</f>
        <v>G</v>
      </c>
      <c r="AC354" s="3">
        <v>149</v>
      </c>
      <c r="AD354" s="3" t="str">
        <f>IFERROR(MID(VLOOKUP($B354,Seqs!$A:$B,2,0),AE354,1),"")</f>
        <v>A</v>
      </c>
      <c r="AE354" s="3">
        <v>173</v>
      </c>
      <c r="AF354" s="3" t="str">
        <f>IFERROR(MID(VLOOKUP($B354,Seqs!$A:$B,2,0),AG354,1),"")</f>
        <v>C</v>
      </c>
      <c r="AG354" s="3">
        <v>187</v>
      </c>
      <c r="AH354" s="3" t="str">
        <f>IFERROR(MID(VLOOKUP($B354,Seqs!$A:$B,2,0),AI354,1),"")</f>
        <v>I</v>
      </c>
      <c r="AI354" s="3">
        <v>189</v>
      </c>
      <c r="AJ354" s="3" t="str">
        <f>IFERROR(MID(VLOOKUP($B354,Seqs!$A:$B,2,0),AK354,1),"")</f>
        <v>N</v>
      </c>
      <c r="AK354" s="3">
        <v>199</v>
      </c>
      <c r="AL354" s="3" t="str">
        <f>IFERROR(MID(VLOOKUP($B354,Seqs!$A:$B,2,0),AM354,1),"")</f>
        <v>Q</v>
      </c>
      <c r="AM354" s="3">
        <v>237</v>
      </c>
      <c r="AN354" s="3" t="str">
        <f>IFERROR(MID(VLOOKUP($B354,Seqs!$A:$B,2,0),AO354,1),"")</f>
        <v>A</v>
      </c>
      <c r="AO354" s="3">
        <v>241</v>
      </c>
      <c r="AP354" s="3" t="str">
        <f>IFERROR(MID(VLOOKUP($B354,Seqs!$A:$B,2,0),AQ354,1),"")</f>
        <v>H</v>
      </c>
      <c r="AQ354" s="3">
        <v>278</v>
      </c>
      <c r="AR354" s="3" t="str">
        <f>IFERROR(MID(VLOOKUP($B354,Seqs!$A:$B,2,0),AS354,1),"")</f>
        <v>G</v>
      </c>
      <c r="AS354" s="3">
        <v>284</v>
      </c>
      <c r="AT354" s="3" t="str">
        <f>IFERROR(MID(VLOOKUP($B354,Seqs!$A:$B,2,0),AU354,1),"")</f>
        <v>M</v>
      </c>
      <c r="AU354" s="3">
        <v>309</v>
      </c>
      <c r="AV354" s="3" t="str">
        <f>IFERROR(MID(VLOOKUP($B354,Seqs!$A:$B,2,0),AW354,1),"")</f>
        <v>N</v>
      </c>
      <c r="AW354" s="3">
        <v>310</v>
      </c>
      <c r="AX354" s="3" t="str">
        <f>IFERROR(MID(VLOOKUP($B354,Seqs!$A:$B,2,0),AY354,1),"")</f>
        <v>C</v>
      </c>
      <c r="AY354" s="3">
        <v>322</v>
      </c>
      <c r="AZ354" s="77" t="str">
        <f>VLOOKUP(B354,Classification!A:D,2,0)</f>
        <v>A</v>
      </c>
      <c r="BA354" s="94" t="str">
        <f>VLOOKUP(B354,Classification!A:D,4,0)</f>
        <v>Opsins</v>
      </c>
      <c r="BB354" s="27" t="b">
        <f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23">
        <f>_xlfn.AGGREGATE(9,6,CH354:CS354)-_xlfn.AGGREGATE(9,6,BV354:CG354)+12</f>
        <v>258</v>
      </c>
      <c r="BD354" s="2" t="s">
        <v>23</v>
      </c>
      <c r="BE354" s="3" t="s">
        <v>1287</v>
      </c>
      <c r="BF354" s="118">
        <v>3.01</v>
      </c>
      <c r="BG354" s="49" t="s">
        <v>1429</v>
      </c>
      <c r="BH354" s="49" t="s">
        <v>1429</v>
      </c>
      <c r="BI354" s="1"/>
      <c r="BJ354" s="70" t="s">
        <v>1283</v>
      </c>
      <c r="BK354" s="57" t="s">
        <v>1283</v>
      </c>
      <c r="BL354" s="57" t="s">
        <v>1283</v>
      </c>
      <c r="BM354" s="57" t="s">
        <v>1283</v>
      </c>
      <c r="BN354" s="57" t="s">
        <v>1283</v>
      </c>
      <c r="BO354" s="57" t="s">
        <v>1283</v>
      </c>
      <c r="BP354" s="57" t="s">
        <v>1283</v>
      </c>
      <c r="BQ354" s="57" t="s">
        <v>1283</v>
      </c>
      <c r="BR354" s="57" t="s">
        <v>1283</v>
      </c>
      <c r="BS354" s="57" t="s">
        <v>1283</v>
      </c>
      <c r="BT354" s="57" t="s">
        <v>1283</v>
      </c>
      <c r="BU354" s="57" t="s">
        <v>1283</v>
      </c>
      <c r="BV354" s="70">
        <f>E354</f>
        <v>34</v>
      </c>
      <c r="BW354" s="71">
        <f>I354</f>
        <v>66</v>
      </c>
      <c r="BX354" s="72">
        <f>M354</f>
        <v>70</v>
      </c>
      <c r="BY354" s="71">
        <f>Q354</f>
        <v>102</v>
      </c>
      <c r="BZ354" s="72">
        <f>U354</f>
        <v>106</v>
      </c>
      <c r="CA354" s="71">
        <f>Y354</f>
        <v>142</v>
      </c>
      <c r="CB354" s="72">
        <f>AC354</f>
        <v>149</v>
      </c>
      <c r="CC354" s="71">
        <f>AG354</f>
        <v>187</v>
      </c>
      <c r="CD354" s="72">
        <f>AK354</f>
        <v>199</v>
      </c>
      <c r="CE354" s="71">
        <f>AO354</f>
        <v>241</v>
      </c>
      <c r="CF354" s="72">
        <f>AS354</f>
        <v>284</v>
      </c>
      <c r="CG354" s="71">
        <f>AW354</f>
        <v>310</v>
      </c>
      <c r="CH354" s="70">
        <f>G354</f>
        <v>65</v>
      </c>
      <c r="CI354" s="71">
        <f>K354</f>
        <v>69</v>
      </c>
      <c r="CJ354" s="72">
        <f>O354</f>
        <v>100</v>
      </c>
      <c r="CK354" s="72">
        <f>S354</f>
        <v>105</v>
      </c>
      <c r="CL354" s="72">
        <f>W354</f>
        <v>141</v>
      </c>
      <c r="CM354" s="72">
        <f>AA354</f>
        <v>148</v>
      </c>
      <c r="CN354" s="72">
        <f>AE354</f>
        <v>173</v>
      </c>
      <c r="CO354" s="72">
        <f>AI354</f>
        <v>189</v>
      </c>
      <c r="CP354" s="72">
        <f>AM354</f>
        <v>237</v>
      </c>
      <c r="CQ354" s="72">
        <f>AQ354</f>
        <v>278</v>
      </c>
      <c r="CR354" s="72">
        <f>AU354</f>
        <v>309</v>
      </c>
      <c r="CS354" s="72">
        <f>AY354</f>
        <v>322</v>
      </c>
      <c r="CT354" s="23">
        <f>M354-K354</f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>CONCATENATE(B355,"_",C355)</f>
        <v>opsd_human_6CMO</v>
      </c>
      <c r="B355" s="3" t="s">
        <v>338</v>
      </c>
      <c r="C355" s="3" t="s">
        <v>1498</v>
      </c>
      <c r="D355" s="3" t="str">
        <f>IFERROR(MID(VLOOKUP($B355,Seqs!$A:$B,2,0),E355,1),"")</f>
        <v>E</v>
      </c>
      <c r="E355" s="3">
        <v>33</v>
      </c>
      <c r="F355" s="3" t="str">
        <f>IFERROR(MID(VLOOKUP($B355,Seqs!$A:$B,2,0),G355,1),"")</f>
        <v>H</v>
      </c>
      <c r="G355" s="3">
        <v>65</v>
      </c>
      <c r="H355" s="3" t="str">
        <f>IFERROR(MID(VLOOKUP($B355,Seqs!$A:$B,2,0),I355,1),"")</f>
        <v>K</v>
      </c>
      <c r="I355" s="23">
        <v>66</v>
      </c>
      <c r="J355" s="3" t="str">
        <f>IFERROR(MID(VLOOKUP($B355,Seqs!$A:$B,2,0),K355,1),"")</f>
        <v>R</v>
      </c>
      <c r="K355" s="23">
        <v>69</v>
      </c>
      <c r="L355" s="3" t="str">
        <f>IFERROR(MID(VLOOKUP($B355,Seqs!$A:$B,2,0),M355,1),"")</f>
        <v>T</v>
      </c>
      <c r="M355" s="3">
        <v>70</v>
      </c>
      <c r="N355" s="3" t="str">
        <f>IFERROR(MID(VLOOKUP($B355,Seqs!$A:$B,2,0),O355,1),"")</f>
        <v>G</v>
      </c>
      <c r="O355" s="3">
        <v>101</v>
      </c>
      <c r="P355" s="3" t="str">
        <f>IFERROR(MID(VLOOKUP($B355,Seqs!$A:$B,2,0),Q355,1),"")</f>
        <v>Y</v>
      </c>
      <c r="Q355" s="3">
        <v>102</v>
      </c>
      <c r="R355" s="3" t="str">
        <f>IFERROR(MID(VLOOKUP($B355,Seqs!$A:$B,2,0),S355,1),"")</f>
        <v>F</v>
      </c>
      <c r="S355" s="3">
        <v>105</v>
      </c>
      <c r="T355" s="3" t="str">
        <f>IFERROR(MID(VLOOKUP($B355,Seqs!$A:$B,2,0),U355,1),"")</f>
        <v>G</v>
      </c>
      <c r="U355" s="3">
        <v>106</v>
      </c>
      <c r="V355" s="3" t="str">
        <f>IFERROR(MID(VLOOKUP($B355,Seqs!$A:$B,2,0),W355,1),"")</f>
        <v>K</v>
      </c>
      <c r="W355" s="3">
        <v>141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E</v>
      </c>
      <c r="AC355" s="3">
        <v>150</v>
      </c>
      <c r="AD355" s="3" t="str">
        <f>IFERROR(MID(VLOOKUP($B355,Seqs!$A:$B,2,0),AE355,1),"")</f>
        <v>A</v>
      </c>
      <c r="AE355" s="3">
        <v>173</v>
      </c>
      <c r="AF355" s="3" t="str">
        <f>IFERROR(MID(VLOOKUP($B355,Seqs!$A:$B,2,0),AG355,1),"")</f>
        <v>C</v>
      </c>
      <c r="AG355" s="3">
        <v>187</v>
      </c>
      <c r="AH355" s="3" t="str">
        <f>IFERROR(MID(VLOOKUP($B355,Seqs!$A:$B,2,0),AI355,1),"")</f>
        <v>I</v>
      </c>
      <c r="AI355" s="3">
        <v>189</v>
      </c>
      <c r="AJ355" s="3" t="str">
        <f>IFERROR(MID(VLOOKUP($B355,Seqs!$A:$B,2,0),AK355,1),"")</f>
        <v>N</v>
      </c>
      <c r="AK355" s="3">
        <v>200</v>
      </c>
      <c r="AL355" s="3" t="str">
        <f>IFERROR(MID(VLOOKUP($B355,Seqs!$A:$B,2,0),AM355,1),"")</f>
        <v>Q</v>
      </c>
      <c r="AM355" s="3">
        <v>238</v>
      </c>
      <c r="AN355" s="3" t="str">
        <f>IFERROR(MID(VLOOKUP($B355,Seqs!$A:$B,2,0),AO355,1),"")</f>
        <v>S</v>
      </c>
      <c r="AO355" s="3">
        <v>240</v>
      </c>
      <c r="AP355" s="3" t="str">
        <f>IFERROR(MID(VLOOKUP($B355,Seqs!$A:$B,2,0),AQ355,1),"")</f>
        <v>H</v>
      </c>
      <c r="AQ355" s="3">
        <v>278</v>
      </c>
      <c r="AR355" s="3" t="str">
        <f>IFERROR(MID(VLOOKUP($B355,Seqs!$A:$B,2,0),AS355,1),"")</f>
        <v>I</v>
      </c>
      <c r="AS355" s="3">
        <v>286</v>
      </c>
      <c r="AT355" s="3" t="str">
        <f>IFERROR(MID(VLOOKUP($B355,Seqs!$A:$B,2,0),AU355,1),"")</f>
        <v>M</v>
      </c>
      <c r="AU355" s="3">
        <v>309</v>
      </c>
      <c r="AV355" s="3" t="str">
        <f>IFERROR(MID(VLOOKUP($B355,Seqs!$A:$B,2,0),AW355,1),"")</f>
        <v>N</v>
      </c>
      <c r="AW355" s="3">
        <v>310</v>
      </c>
      <c r="AX355" s="3" t="str">
        <f>IFERROR(MID(VLOOKUP($B355,Seqs!$A:$B,2,0),AY355,1),"")</f>
        <v>C</v>
      </c>
      <c r="AY355" s="3">
        <v>323</v>
      </c>
      <c r="AZ355" s="77" t="str">
        <f>VLOOKUP(B355,Classification!A:D,2,0)</f>
        <v>A</v>
      </c>
      <c r="BA355" s="94" t="str">
        <f>VLOOKUP(B355,Classification!A:D,4,0)</f>
        <v>Opsins</v>
      </c>
      <c r="BB355" s="27" t="b">
        <f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23">
        <f>_xlfn.AGGREGATE(9,6,CH355:CS355)-_xlfn.AGGREGATE(9,6,BV355:CG355)+12</f>
        <v>253</v>
      </c>
      <c r="BD355" s="2" t="s">
        <v>23</v>
      </c>
      <c r="BE355" s="3" t="s">
        <v>1287</v>
      </c>
      <c r="BF355" s="118">
        <v>4.5</v>
      </c>
      <c r="BG355" s="49" t="s">
        <v>1429</v>
      </c>
      <c r="BH355" s="49" t="s">
        <v>1429</v>
      </c>
      <c r="BI355" s="1"/>
      <c r="BJ355" s="70" t="s">
        <v>1283</v>
      </c>
      <c r="BK355" s="57" t="s">
        <v>1283</v>
      </c>
      <c r="BL355" s="57" t="s">
        <v>1283</v>
      </c>
      <c r="BM355" s="57" t="s">
        <v>1283</v>
      </c>
      <c r="BN355" s="57" t="s">
        <v>1283</v>
      </c>
      <c r="BO355" s="57" t="s">
        <v>1283</v>
      </c>
      <c r="BP355" s="57" t="s">
        <v>1283</v>
      </c>
      <c r="BQ355" s="57" t="s">
        <v>1283</v>
      </c>
      <c r="BR355" s="57" t="s">
        <v>1283</v>
      </c>
      <c r="BS355" s="57" t="s">
        <v>1283</v>
      </c>
      <c r="BT355" s="57" t="s">
        <v>1283</v>
      </c>
      <c r="BU355" s="57" t="s">
        <v>1283</v>
      </c>
      <c r="BV355" s="70">
        <f>E355</f>
        <v>33</v>
      </c>
      <c r="BW355" s="71">
        <f>I355</f>
        <v>66</v>
      </c>
      <c r="BX355" s="72">
        <f>M355</f>
        <v>70</v>
      </c>
      <c r="BY355" s="71">
        <f>Q355</f>
        <v>102</v>
      </c>
      <c r="BZ355" s="72">
        <f>U355</f>
        <v>106</v>
      </c>
      <c r="CA355" s="71" t="str">
        <f>Y355</f>
        <v>-</v>
      </c>
      <c r="CB355" s="72">
        <f>AC355</f>
        <v>150</v>
      </c>
      <c r="CC355" s="71">
        <f>AG355</f>
        <v>187</v>
      </c>
      <c r="CD355" s="72">
        <f>AK355</f>
        <v>200</v>
      </c>
      <c r="CE355" s="71">
        <f>AO355</f>
        <v>240</v>
      </c>
      <c r="CF355" s="72">
        <f>AS355</f>
        <v>286</v>
      </c>
      <c r="CG355" s="71">
        <f>AW355</f>
        <v>310</v>
      </c>
      <c r="CH355" s="70">
        <f>G355</f>
        <v>65</v>
      </c>
      <c r="CI355" s="71">
        <f>K355</f>
        <v>69</v>
      </c>
      <c r="CJ355" s="72">
        <f>O355</f>
        <v>101</v>
      </c>
      <c r="CK355" s="72">
        <f>S355</f>
        <v>105</v>
      </c>
      <c r="CL355" s="72">
        <f>W355</f>
        <v>141</v>
      </c>
      <c r="CM355" s="72" t="str">
        <f>AA355</f>
        <v>-</v>
      </c>
      <c r="CN355" s="72">
        <f>AE355</f>
        <v>173</v>
      </c>
      <c r="CO355" s="72">
        <f>AI355</f>
        <v>189</v>
      </c>
      <c r="CP355" s="72">
        <f>AM355</f>
        <v>238</v>
      </c>
      <c r="CQ355" s="72">
        <f>AQ355</f>
        <v>278</v>
      </c>
      <c r="CR355" s="72">
        <f>AU355</f>
        <v>309</v>
      </c>
      <c r="CS355" s="72">
        <f>AY355</f>
        <v>323</v>
      </c>
      <c r="CT355" s="23">
        <f>M355-K355</f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30" x14ac:dyDescent="0.2">
      <c r="A356" s="3" t="str">
        <f t="shared" si="2960"/>
        <v>opsd_todpa__wt</v>
      </c>
      <c r="B356" s="3" t="s">
        <v>917</v>
      </c>
      <c r="C356" s="3" t="s">
        <v>100</v>
      </c>
      <c r="D356" s="3" t="str">
        <f>IFERROR(MID(VLOOKUP($B356,Seqs!$A:$B,2,0),E356,1),"")</f>
        <v>D</v>
      </c>
      <c r="E356" s="3">
        <v>31</v>
      </c>
      <c r="F356" s="3" t="str">
        <f>IFERROR(MID(VLOOKUP($B356,Seqs!$A:$B,2,0),G356,1),"")</f>
        <v>T</v>
      </c>
      <c r="G356" s="3">
        <v>62</v>
      </c>
      <c r="H356" s="3" t="str">
        <f>IFERROR(MID(VLOOKUP($B356,Seqs!$A:$B,2,0),I356,1),"")</f>
        <v>K</v>
      </c>
      <c r="I356" s="23">
        <v>63</v>
      </c>
      <c r="J356" s="3" t="str">
        <f>IFERROR(MID(VLOOKUP($B356,Seqs!$A:$B,2,0),K356,1),"")</f>
        <v>Q</v>
      </c>
      <c r="K356" s="23">
        <v>66</v>
      </c>
      <c r="L356" s="3" t="str">
        <f>IFERROR(MID(VLOOKUP($B356,Seqs!$A:$B,2,0),M356,1),"")</f>
        <v>T</v>
      </c>
      <c r="M356" s="3">
        <v>67</v>
      </c>
      <c r="N356" s="3" t="str">
        <f>IFERROR(MID(VLOOKUP($B356,Seqs!$A:$B,2,0),O356,1),"")</f>
        <v>K</v>
      </c>
      <c r="O356" s="3">
        <v>99</v>
      </c>
      <c r="P356" s="3" t="str">
        <f>IFERROR(MID(VLOOKUP($B356,Seqs!$A:$B,2,0),Q356,1),"")</f>
        <v>K</v>
      </c>
      <c r="Q356" s="3">
        <v>100</v>
      </c>
      <c r="R356" s="3" t="str">
        <f>IFERROR(MID(VLOOKUP($B356,Seqs!$A:$B,2,0),S356,1),"")</f>
        <v>F</v>
      </c>
      <c r="S356" s="3">
        <v>103</v>
      </c>
      <c r="T356" s="3" t="str">
        <f>IFERROR(MID(VLOOKUP($B356,Seqs!$A:$B,2,0),U356,1),"")</f>
        <v>G</v>
      </c>
      <c r="U356" s="3">
        <v>104</v>
      </c>
      <c r="V356" s="3" t="str">
        <f>IFERROR(MID(VLOOKUP($B356,Seqs!$A:$B,2,0),W356,1),"")</f>
        <v>R</v>
      </c>
      <c r="W356" s="3">
        <v>139</v>
      </c>
      <c r="X356" s="3" t="str">
        <f>IFERROR(MID(VLOOKUP($B356,Seqs!$A:$B,2,0),Y356,1),"")</f>
        <v>P</v>
      </c>
      <c r="Y356" s="3">
        <v>140</v>
      </c>
      <c r="Z356" s="3" t="str">
        <f>IFERROR(MID(VLOOKUP($B356,Seqs!$A:$B,2,0),AA356,1),"")</f>
        <v>M</v>
      </c>
      <c r="AA356" s="3">
        <v>147</v>
      </c>
      <c r="AB356" s="3" t="str">
        <f>IFERROR(MID(VLOOKUP($B356,Seqs!$A:$B,2,0),AC356,1),"")</f>
        <v>S</v>
      </c>
      <c r="AC356" s="9">
        <v>148</v>
      </c>
      <c r="AD356" s="3" t="str">
        <f>IFERROR(MID(VLOOKUP($B356,Seqs!$A:$B,2,0),AE356,1),"")</f>
        <v>F</v>
      </c>
      <c r="AE356" s="3">
        <v>172</v>
      </c>
      <c r="AF356" s="3" t="str">
        <f>IFERROR(MID(VLOOKUP($B356,Seqs!$A:$B,2,0),AG356,1),"")</f>
        <v>C</v>
      </c>
      <c r="AG356" s="3">
        <v>186</v>
      </c>
      <c r="AH356" s="3" t="str">
        <f>IFERROR(MID(VLOOKUP($B356,Seqs!$A:$B,2,0),AI356,1),"")</f>
        <v>F</v>
      </c>
      <c r="AI356" s="3">
        <v>188</v>
      </c>
      <c r="AJ356" s="3" t="str">
        <f>IFERROR(MID(VLOOKUP($B356,Seqs!$A:$B,2,0),AK356,1),"")</f>
        <v>D</v>
      </c>
      <c r="AK356" s="3">
        <v>194</v>
      </c>
      <c r="AL356" s="3" t="str">
        <f>IFERROR(MID(VLOOKUP($B356,Seqs!$A:$B,2,0),AM356,1),"")</f>
        <v>K</v>
      </c>
      <c r="AM356" s="3">
        <v>239</v>
      </c>
      <c r="AN356" s="3" t="str">
        <f>IFERROR(MID(VLOOKUP($B356,Seqs!$A:$B,2,0),AO356,1),"")</f>
        <v>K</v>
      </c>
      <c r="AO356" s="3">
        <v>244</v>
      </c>
      <c r="AP356" s="3" t="str">
        <f>IFERROR(MID(VLOOKUP($B356,Seqs!$A:$B,2,0),AQ356,1),"")</f>
        <v>G</v>
      </c>
      <c r="AQ356" s="3">
        <v>287</v>
      </c>
      <c r="AR356" s="3" t="str">
        <f>IFERROR(MID(VLOOKUP($B356,Seqs!$A:$B,2,0),AS356,1),"")</f>
        <v>T</v>
      </c>
      <c r="AS356" s="3">
        <v>293</v>
      </c>
      <c r="AT356" s="3" t="str">
        <f>IFERROR(MID(VLOOKUP($B356,Seqs!$A:$B,2,0),AU356,1),"")</f>
        <v>S</v>
      </c>
      <c r="AU356" s="3">
        <v>318</v>
      </c>
      <c r="AV356" s="3" t="str">
        <f>IFERROR(MID(VLOOKUP($B356,Seqs!$A:$B,2,0),AW356,1),"")</f>
        <v>H</v>
      </c>
      <c r="AW356" s="3">
        <v>319</v>
      </c>
      <c r="AX356" s="3" t="str">
        <f>IFERROR(MID(VLOOKUP($B356,Seqs!$A:$B,2,0),AY356,1),"")</f>
        <v>F</v>
      </c>
      <c r="AY356" s="3">
        <v>330</v>
      </c>
      <c r="AZ356" s="77" t="str">
        <f>VLOOKUP(B356,Classification!A:D,2,0)</f>
        <v>A</v>
      </c>
      <c r="BA356" s="94" t="str">
        <f>VLOOKUP(B356,Classification!A:D,4,0)</f>
        <v>Opsins</v>
      </c>
      <c r="BB356" s="27" t="b">
        <f t="shared" si="2961"/>
        <v>1</v>
      </c>
      <c r="BC356" s="23">
        <f t="shared" si="2934"/>
        <v>273</v>
      </c>
      <c r="BD356" s="56" t="s">
        <v>23</v>
      </c>
      <c r="BE356" s="3" t="s">
        <v>23</v>
      </c>
      <c r="BF356" s="118" t="s">
        <v>23</v>
      </c>
      <c r="BG356" s="49" t="s">
        <v>1368</v>
      </c>
      <c r="BH356" s="49" t="s">
        <v>1373</v>
      </c>
      <c r="BI356" s="1"/>
      <c r="BJ356" s="70" t="s">
        <v>1283</v>
      </c>
      <c r="BK356" s="57" t="s">
        <v>1283</v>
      </c>
      <c r="BL356" s="57" t="s">
        <v>1283</v>
      </c>
      <c r="BM356" s="57" t="s">
        <v>1283</v>
      </c>
      <c r="BN356" s="57" t="s">
        <v>1283</v>
      </c>
      <c r="BO356" s="57" t="s">
        <v>1283</v>
      </c>
      <c r="BP356" s="57" t="s">
        <v>1283</v>
      </c>
      <c r="BQ356" s="57" t="s">
        <v>1283</v>
      </c>
      <c r="BR356" s="57" t="s">
        <v>1283</v>
      </c>
      <c r="BS356" s="57" t="s">
        <v>1283</v>
      </c>
      <c r="BT356" s="57" t="s">
        <v>1283</v>
      </c>
      <c r="BU356" s="57" t="s">
        <v>1283</v>
      </c>
      <c r="BV356" s="70">
        <f t="shared" si="2935"/>
        <v>31</v>
      </c>
      <c r="BW356" s="71">
        <f t="shared" si="2936"/>
        <v>63</v>
      </c>
      <c r="BX356" s="72">
        <f t="shared" si="2937"/>
        <v>67</v>
      </c>
      <c r="BY356" s="71">
        <f t="shared" si="2938"/>
        <v>100</v>
      </c>
      <c r="BZ356" s="72">
        <f t="shared" si="2939"/>
        <v>104</v>
      </c>
      <c r="CA356" s="71">
        <f t="shared" si="2940"/>
        <v>140</v>
      </c>
      <c r="CB356" s="72">
        <f t="shared" si="2941"/>
        <v>148</v>
      </c>
      <c r="CC356" s="71">
        <f t="shared" si="2942"/>
        <v>186</v>
      </c>
      <c r="CD356" s="72">
        <f t="shared" si="2943"/>
        <v>194</v>
      </c>
      <c r="CE356" s="71">
        <f t="shared" si="2944"/>
        <v>244</v>
      </c>
      <c r="CF356" s="72">
        <f t="shared" si="2945"/>
        <v>293</v>
      </c>
      <c r="CG356" s="71">
        <f t="shared" si="2946"/>
        <v>319</v>
      </c>
      <c r="CH356" s="70">
        <f t="shared" si="2947"/>
        <v>62</v>
      </c>
      <c r="CI356" s="71">
        <f t="shared" si="2948"/>
        <v>66</v>
      </c>
      <c r="CJ356" s="72">
        <f t="shared" si="2949"/>
        <v>99</v>
      </c>
      <c r="CK356" s="72">
        <f t="shared" si="2950"/>
        <v>103</v>
      </c>
      <c r="CL356" s="72">
        <f t="shared" si="2951"/>
        <v>139</v>
      </c>
      <c r="CM356" s="72">
        <f t="shared" si="2952"/>
        <v>147</v>
      </c>
      <c r="CN356" s="72">
        <f t="shared" si="2953"/>
        <v>172</v>
      </c>
      <c r="CO356" s="72">
        <f t="shared" si="2954"/>
        <v>188</v>
      </c>
      <c r="CP356" s="72">
        <f t="shared" si="2955"/>
        <v>239</v>
      </c>
      <c r="CQ356" s="72">
        <f t="shared" si="2956"/>
        <v>287</v>
      </c>
      <c r="CR356" s="72">
        <f t="shared" si="2957"/>
        <v>318</v>
      </c>
      <c r="CS356" s="72">
        <f t="shared" si="2958"/>
        <v>330</v>
      </c>
      <c r="CT356" s="23">
        <f t="shared" si="2959"/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30" x14ac:dyDescent="0.2">
      <c r="A357" s="3" t="str">
        <f t="shared" si="2960"/>
        <v>opsd_todpa_2Z73</v>
      </c>
      <c r="B357" s="3" t="s">
        <v>917</v>
      </c>
      <c r="C357" s="3" t="s">
        <v>97</v>
      </c>
      <c r="D357" s="3" t="str">
        <f>IFERROR(MID(VLOOKUP($B357,Seqs!$A:$B,2,0),E357,1),"")</f>
        <v>D</v>
      </c>
      <c r="E357" s="3">
        <v>31</v>
      </c>
      <c r="F357" s="3" t="str">
        <f>IFERROR(MID(VLOOKUP($B357,Seqs!$A:$B,2,0),G357,1),"")</f>
        <v>T</v>
      </c>
      <c r="G357" s="3">
        <v>62</v>
      </c>
      <c r="H357" s="3" t="str">
        <f>IFERROR(MID(VLOOKUP($B357,Seqs!$A:$B,2,0),I357,1),"")</f>
        <v>K</v>
      </c>
      <c r="I357" s="23">
        <v>63</v>
      </c>
      <c r="J357" s="3" t="str">
        <f>IFERROR(MID(VLOOKUP($B357,Seqs!$A:$B,2,0),K357,1),"")</f>
        <v>Q</v>
      </c>
      <c r="K357" s="23">
        <v>66</v>
      </c>
      <c r="L357" s="3" t="str">
        <f>IFERROR(MID(VLOOKUP($B357,Seqs!$A:$B,2,0),M357,1),"")</f>
        <v>T</v>
      </c>
      <c r="M357" s="3">
        <v>67</v>
      </c>
      <c r="N357" s="3" t="str">
        <f>IFERROR(MID(VLOOKUP($B357,Seqs!$A:$B,2,0),O357,1),"")</f>
        <v>K</v>
      </c>
      <c r="O357" s="3">
        <v>99</v>
      </c>
      <c r="P357" s="3" t="str">
        <f>IFERROR(MID(VLOOKUP($B357,Seqs!$A:$B,2,0),Q357,1),"")</f>
        <v>K</v>
      </c>
      <c r="Q357" s="3">
        <v>100</v>
      </c>
      <c r="R357" s="3" t="str">
        <f>IFERROR(MID(VLOOKUP($B357,Seqs!$A:$B,2,0),S357,1),"")</f>
        <v>F</v>
      </c>
      <c r="S357" s="3">
        <v>103</v>
      </c>
      <c r="T357" s="3" t="str">
        <f>IFERROR(MID(VLOOKUP($B357,Seqs!$A:$B,2,0),U357,1),"")</f>
        <v>G</v>
      </c>
      <c r="U357" s="3">
        <v>104</v>
      </c>
      <c r="V357" s="3" t="str">
        <f>IFERROR(MID(VLOOKUP($B357,Seqs!$A:$B,2,0),W357,1),"")</f>
        <v>R</v>
      </c>
      <c r="W357" s="3">
        <v>139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S</v>
      </c>
      <c r="AC357" s="9">
        <v>148</v>
      </c>
      <c r="AD357" s="3" t="str">
        <f>IFERROR(MID(VLOOKUP($B357,Seqs!$A:$B,2,0),AE357,1),"")</f>
        <v>F</v>
      </c>
      <c r="AE357" s="3">
        <v>172</v>
      </c>
      <c r="AF357" s="3" t="str">
        <f>IFERROR(MID(VLOOKUP($B357,Seqs!$A:$B,2,0),AG357,1),"")</f>
        <v>C</v>
      </c>
      <c r="AG357" s="3">
        <v>186</v>
      </c>
      <c r="AH357" s="3" t="str">
        <f>IFERROR(MID(VLOOKUP($B357,Seqs!$A:$B,2,0),AI357,1),"")</f>
        <v>F</v>
      </c>
      <c r="AI357" s="3">
        <v>188</v>
      </c>
      <c r="AJ357" s="3" t="str">
        <f>IFERROR(MID(VLOOKUP($B357,Seqs!$A:$B,2,0),AK357,1),"")</f>
        <v>D</v>
      </c>
      <c r="AK357" s="3">
        <v>194</v>
      </c>
      <c r="AL357" s="3" t="str">
        <f>IFERROR(MID(VLOOKUP($B357,Seqs!$A:$B,2,0),AM357,1),"")</f>
        <v>K</v>
      </c>
      <c r="AM357" s="3">
        <v>239</v>
      </c>
      <c r="AN357" s="3" t="str">
        <f>IFERROR(MID(VLOOKUP($B357,Seqs!$A:$B,2,0),AO357,1),"")</f>
        <v>K</v>
      </c>
      <c r="AO357" s="3">
        <v>244</v>
      </c>
      <c r="AP357" s="3" t="str">
        <f>IFERROR(MID(VLOOKUP($B357,Seqs!$A:$B,2,0),AQ357,1),"")</f>
        <v>G</v>
      </c>
      <c r="AQ357" s="3">
        <v>287</v>
      </c>
      <c r="AR357" s="3" t="str">
        <f>IFERROR(MID(VLOOKUP($B357,Seqs!$A:$B,2,0),AS357,1),"")</f>
        <v>T</v>
      </c>
      <c r="AS357" s="3">
        <v>293</v>
      </c>
      <c r="AT357" s="3" t="str">
        <f>IFERROR(MID(VLOOKUP($B357,Seqs!$A:$B,2,0),AU357,1),"")</f>
        <v>S</v>
      </c>
      <c r="AU357" s="3">
        <v>318</v>
      </c>
      <c r="AV357" s="3" t="str">
        <f>IFERROR(MID(VLOOKUP($B357,Seqs!$A:$B,2,0),AW357,1),"")</f>
        <v>H</v>
      </c>
      <c r="AW357" s="3">
        <v>319</v>
      </c>
      <c r="AX357" s="3" t="str">
        <f>IFERROR(MID(VLOOKUP($B357,Seqs!$A:$B,2,0),AY357,1),"")</f>
        <v>F</v>
      </c>
      <c r="AY357" s="3">
        <v>330</v>
      </c>
      <c r="AZ357" s="77" t="str">
        <f>VLOOKUP(B357,Classification!A:D,2,0)</f>
        <v>A</v>
      </c>
      <c r="BA357" s="94" t="str">
        <f>VLOOKUP(B357,Classification!A:D,4,0)</f>
        <v>Opsins</v>
      </c>
      <c r="BB357" s="27" t="b">
        <f t="shared" si="2961"/>
        <v>1</v>
      </c>
      <c r="BC357" s="23">
        <f t="shared" si="2934"/>
        <v>266</v>
      </c>
      <c r="BD357" s="2" t="s">
        <v>23</v>
      </c>
      <c r="BE357" s="3" t="s">
        <v>1370</v>
      </c>
      <c r="BF357" s="118">
        <v>2.5</v>
      </c>
      <c r="BG357" s="49" t="s">
        <v>1373</v>
      </c>
      <c r="BH357" s="49" t="s">
        <v>1373</v>
      </c>
      <c r="BI357" s="1"/>
      <c r="BJ357" s="70" t="s">
        <v>1283</v>
      </c>
      <c r="BK357" s="57" t="s">
        <v>1283</v>
      </c>
      <c r="BL357" s="57" t="s">
        <v>1283</v>
      </c>
      <c r="BM357" s="57" t="s">
        <v>1283</v>
      </c>
      <c r="BN357" s="57" t="s">
        <v>1283</v>
      </c>
      <c r="BO357" s="57" t="s">
        <v>1283</v>
      </c>
      <c r="BP357" s="57" t="s">
        <v>1283</v>
      </c>
      <c r="BQ357" s="57" t="s">
        <v>1283</v>
      </c>
      <c r="BR357" s="57" t="s">
        <v>1283</v>
      </c>
      <c r="BS357" s="57" t="s">
        <v>1283</v>
      </c>
      <c r="BT357" s="57" t="s">
        <v>1283</v>
      </c>
      <c r="BU357" s="57" t="s">
        <v>1283</v>
      </c>
      <c r="BV357" s="70">
        <f t="shared" si="2935"/>
        <v>31</v>
      </c>
      <c r="BW357" s="71">
        <f t="shared" si="2936"/>
        <v>63</v>
      </c>
      <c r="BX357" s="72">
        <f t="shared" si="2937"/>
        <v>67</v>
      </c>
      <c r="BY357" s="71">
        <f t="shared" si="2938"/>
        <v>100</v>
      </c>
      <c r="BZ357" s="72">
        <f t="shared" si="2939"/>
        <v>104</v>
      </c>
      <c r="CA357" s="71" t="str">
        <f t="shared" si="2940"/>
        <v>-</v>
      </c>
      <c r="CB357" s="72">
        <f t="shared" si="2941"/>
        <v>148</v>
      </c>
      <c r="CC357" s="71">
        <f t="shared" si="2942"/>
        <v>186</v>
      </c>
      <c r="CD357" s="72">
        <f t="shared" si="2943"/>
        <v>194</v>
      </c>
      <c r="CE357" s="71">
        <f t="shared" si="2944"/>
        <v>244</v>
      </c>
      <c r="CF357" s="72">
        <f t="shared" si="2945"/>
        <v>293</v>
      </c>
      <c r="CG357" s="71">
        <f t="shared" si="2946"/>
        <v>319</v>
      </c>
      <c r="CH357" s="70">
        <f t="shared" si="2947"/>
        <v>62</v>
      </c>
      <c r="CI357" s="71">
        <f t="shared" si="2948"/>
        <v>66</v>
      </c>
      <c r="CJ357" s="72">
        <f t="shared" si="2949"/>
        <v>99</v>
      </c>
      <c r="CK357" s="72">
        <f t="shared" si="2950"/>
        <v>103</v>
      </c>
      <c r="CL357" s="72">
        <f t="shared" si="2951"/>
        <v>139</v>
      </c>
      <c r="CM357" s="72" t="str">
        <f t="shared" si="2952"/>
        <v>-</v>
      </c>
      <c r="CN357" s="72">
        <f t="shared" si="2953"/>
        <v>172</v>
      </c>
      <c r="CO357" s="72">
        <f t="shared" si="2954"/>
        <v>188</v>
      </c>
      <c r="CP357" s="72">
        <f t="shared" si="2955"/>
        <v>239</v>
      </c>
      <c r="CQ357" s="72">
        <f t="shared" si="2956"/>
        <v>287</v>
      </c>
      <c r="CR357" s="72">
        <f t="shared" si="2957"/>
        <v>318</v>
      </c>
      <c r="CS357" s="72">
        <f t="shared" si="2958"/>
        <v>330</v>
      </c>
      <c r="CT357" s="23">
        <f t="shared" si="2959"/>
        <v>1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  <c r="AMP357" s="2"/>
    </row>
    <row r="358" spans="1:1030" x14ac:dyDescent="0.2">
      <c r="A358" s="3" t="str">
        <f t="shared" si="2960"/>
        <v>ox1r_human__wt</v>
      </c>
      <c r="B358" s="3" t="s">
        <v>1170</v>
      </c>
      <c r="C358" s="3" t="s">
        <v>100</v>
      </c>
      <c r="D358" s="3" t="str">
        <f>IFERROR(MID(VLOOKUP($B358,Seqs!$A:$B,2,0),E358,1),"")</f>
        <v>E</v>
      </c>
      <c r="E358" s="3">
        <v>46</v>
      </c>
      <c r="F358" s="3" t="str">
        <f>IFERROR(MID(VLOOKUP($B358,Seqs!$A:$B,2,0),G358,1),"")</f>
        <v>N</v>
      </c>
      <c r="G358" s="3">
        <v>74</v>
      </c>
      <c r="H358" s="3" t="str">
        <f>IFERROR(MID(VLOOKUP($B358,Seqs!$A:$B,2,0),I358,1),"")</f>
        <v>H</v>
      </c>
      <c r="I358" s="23">
        <v>75</v>
      </c>
      <c r="J358" s="3" t="str">
        <f>IFERROR(MID(VLOOKUP($B358,Seqs!$A:$B,2,0),K358,1),"")</f>
        <v>R</v>
      </c>
      <c r="K358" s="23">
        <v>78</v>
      </c>
      <c r="L358" s="3" t="str">
        <f>IFERROR(MID(VLOOKUP($B358,Seqs!$A:$B,2,0),M358,1),"")</f>
        <v>T</v>
      </c>
      <c r="M358" s="3">
        <v>79</v>
      </c>
      <c r="N358" s="3" t="str">
        <f>IFERROR(MID(VLOOKUP($B358,Seqs!$A:$B,2,0),O358,1),"")</f>
        <v>E</v>
      </c>
      <c r="O358" s="105">
        <v>110</v>
      </c>
      <c r="P358" s="3" t="str">
        <f>IFERROR(MID(VLOOKUP($B358,Seqs!$A:$B,2,0),Q358,1),"")</f>
        <v>S</v>
      </c>
      <c r="Q358" s="3">
        <v>111</v>
      </c>
      <c r="R358" s="3" t="str">
        <f>IFERROR(MID(VLOOKUP($B358,Seqs!$A:$B,2,0),S358,1),"")</f>
        <v>F</v>
      </c>
      <c r="S358" s="3">
        <v>114</v>
      </c>
      <c r="T358" s="3" t="str">
        <f>IFERROR(MID(VLOOKUP($B358,Seqs!$A:$B,2,0),U358,1),"")</f>
        <v>G</v>
      </c>
      <c r="U358" s="3">
        <v>115</v>
      </c>
      <c r="V358" s="3" t="str">
        <f>IFERROR(MID(VLOOKUP($B358,Seqs!$A:$B,2,0),W358,1),"")</f>
        <v>H</v>
      </c>
      <c r="W358" s="3">
        <v>150</v>
      </c>
      <c r="X358" s="3" t="str">
        <f>IFERROR(MID(VLOOKUP($B358,Seqs!$A:$B,2,0),Y358,1),"")</f>
        <v>P</v>
      </c>
      <c r="Y358" s="3">
        <v>151</v>
      </c>
      <c r="Z358" s="3" t="str">
        <f>IFERROR(MID(VLOOKUP($B358,Seqs!$A:$B,2,0),AA358,1),"")</f>
        <v>F</v>
      </c>
      <c r="AA358" s="73">
        <v>154</v>
      </c>
      <c r="AB358" s="3" t="str">
        <f>IFERROR(MID(VLOOKUP($B358,Seqs!$A:$B,2,0),AC358,1),"")</f>
        <v>T</v>
      </c>
      <c r="AC358" s="9">
        <v>157</v>
      </c>
      <c r="AD358" s="3" t="str">
        <f>IFERROR(MID(VLOOKUP($B358,Seqs!$A:$B,2,0),AE358,1),"")</f>
        <v>M</v>
      </c>
      <c r="AE358" s="3">
        <v>183</v>
      </c>
      <c r="AF358" s="3" t="str">
        <f>IFERROR(MID(VLOOKUP($B358,Seqs!$A:$B,2,0),AG358,1),"")</f>
        <v>C</v>
      </c>
      <c r="AG358" s="3">
        <v>202</v>
      </c>
      <c r="AH358" s="3" t="str">
        <f>IFERROR(MID(VLOOKUP($B358,Seqs!$A:$B,2,0),AI358,1),"")</f>
        <v>E</v>
      </c>
      <c r="AI358" s="3">
        <v>204</v>
      </c>
      <c r="AJ358" s="3" t="str">
        <f>IFERROR(MID(VLOOKUP($B358,Seqs!$A:$B,2,0),AK358,1),"")</f>
        <v>L</v>
      </c>
      <c r="AK358" s="105">
        <v>210</v>
      </c>
      <c r="AL358" s="3" t="str">
        <f>IFERROR(MID(VLOOKUP($B358,Seqs!$A:$B,2,0),AM358,1),"")</f>
        <v>P</v>
      </c>
      <c r="AM358" s="3">
        <v>248</v>
      </c>
      <c r="AN358" s="3" t="str">
        <f>IFERROR(MID(VLOOKUP($B358,Seqs!$A:$B,2,0),AO358,1),"")</f>
        <v>F</v>
      </c>
      <c r="AO358" s="3">
        <v>283</v>
      </c>
      <c r="AP358" s="3" t="str">
        <f>IFERROR(MID(VLOOKUP($B358,Seqs!$A:$B,2,0),AQ358,1),"")</f>
        <v>F</v>
      </c>
      <c r="AQ358" s="3">
        <v>324</v>
      </c>
      <c r="AR358" s="3" t="str">
        <f>IFERROR(MID(VLOOKUP($B358,Seqs!$A:$B,2,0),AS358,1),"")</f>
        <v>D</v>
      </c>
      <c r="AS358" s="105">
        <v>332</v>
      </c>
      <c r="AT358" s="3" t="str">
        <f>IFERROR(MID(VLOOKUP($B358,Seqs!$A:$B,2,0),AU358,1),"")</f>
        <v>L</v>
      </c>
      <c r="AU358" s="3">
        <v>361</v>
      </c>
      <c r="AV358" s="3" t="str">
        <f>IFERROR(MID(VLOOKUP($B358,Seqs!$A:$B,2,0),AW358,1),"")</f>
        <v>S</v>
      </c>
      <c r="AW358" s="3">
        <v>362</v>
      </c>
      <c r="AX358" s="3" t="str">
        <f>IFERROR(MID(VLOOKUP($B358,Seqs!$A:$B,2,0),AY358,1),"")</f>
        <v>P</v>
      </c>
      <c r="AY358" s="3">
        <v>378</v>
      </c>
      <c r="AZ358" s="77" t="str">
        <f>VLOOKUP(B358,Classification!A:D,2,0)</f>
        <v>A</v>
      </c>
      <c r="BA358" s="94" t="str">
        <f>VLOOKUP(B358,Classification!A:D,4,0)</f>
        <v>Orexin</v>
      </c>
      <c r="BB358" s="27" t="b">
        <f t="shared" si="2961"/>
        <v>1</v>
      </c>
      <c r="BC358" s="23">
        <f t="shared" si="2934"/>
        <v>267</v>
      </c>
      <c r="BD358" s="56" t="s">
        <v>23</v>
      </c>
      <c r="BE358" s="3" t="s">
        <v>23</v>
      </c>
      <c r="BF358" s="118" t="s">
        <v>23</v>
      </c>
      <c r="BG358" s="49" t="s">
        <v>1368</v>
      </c>
      <c r="BH358" s="49" t="s">
        <v>1373</v>
      </c>
      <c r="BI358" s="1"/>
      <c r="BJ358" s="70" t="s">
        <v>1283</v>
      </c>
      <c r="BK358" s="57" t="s">
        <v>1283</v>
      </c>
      <c r="BL358" s="57" t="s">
        <v>1283</v>
      </c>
      <c r="BM358" s="57" t="s">
        <v>1283</v>
      </c>
      <c r="BN358" s="57" t="s">
        <v>1283</v>
      </c>
      <c r="BO358" s="57" t="s">
        <v>1283</v>
      </c>
      <c r="BP358" s="57" t="s">
        <v>1283</v>
      </c>
      <c r="BQ358" s="57" t="s">
        <v>1283</v>
      </c>
      <c r="BR358" s="57" t="s">
        <v>1283</v>
      </c>
      <c r="BS358" s="57" t="s">
        <v>1283</v>
      </c>
      <c r="BT358" s="57" t="s">
        <v>1283</v>
      </c>
      <c r="BU358" s="57" t="s">
        <v>1283</v>
      </c>
      <c r="BV358" s="70">
        <f t="shared" si="2935"/>
        <v>46</v>
      </c>
      <c r="BW358" s="71">
        <f t="shared" si="2936"/>
        <v>75</v>
      </c>
      <c r="BX358" s="72">
        <f t="shared" si="2937"/>
        <v>79</v>
      </c>
      <c r="BY358" s="71">
        <f t="shared" si="2938"/>
        <v>111</v>
      </c>
      <c r="BZ358" s="72">
        <f t="shared" si="2939"/>
        <v>115</v>
      </c>
      <c r="CA358" s="71">
        <f t="shared" si="2940"/>
        <v>151</v>
      </c>
      <c r="CB358" s="72">
        <f t="shared" si="2941"/>
        <v>157</v>
      </c>
      <c r="CC358" s="71">
        <f t="shared" si="2942"/>
        <v>202</v>
      </c>
      <c r="CD358" s="72">
        <f t="shared" si="2943"/>
        <v>210</v>
      </c>
      <c r="CE358" s="71">
        <f t="shared" si="2944"/>
        <v>283</v>
      </c>
      <c r="CF358" s="72">
        <f t="shared" si="2945"/>
        <v>332</v>
      </c>
      <c r="CG358" s="71">
        <f t="shared" si="2946"/>
        <v>362</v>
      </c>
      <c r="CH358" s="70">
        <f t="shared" si="2947"/>
        <v>74</v>
      </c>
      <c r="CI358" s="71">
        <f t="shared" si="2948"/>
        <v>78</v>
      </c>
      <c r="CJ358" s="72">
        <f t="shared" si="2949"/>
        <v>110</v>
      </c>
      <c r="CK358" s="72">
        <f t="shared" si="2950"/>
        <v>114</v>
      </c>
      <c r="CL358" s="72">
        <f t="shared" si="2951"/>
        <v>150</v>
      </c>
      <c r="CM358" s="72">
        <f t="shared" si="2952"/>
        <v>154</v>
      </c>
      <c r="CN358" s="72">
        <f t="shared" si="2953"/>
        <v>183</v>
      </c>
      <c r="CO358" s="72">
        <f t="shared" si="2954"/>
        <v>204</v>
      </c>
      <c r="CP358" s="72">
        <f t="shared" si="2955"/>
        <v>248</v>
      </c>
      <c r="CQ358" s="72">
        <f t="shared" si="2956"/>
        <v>324</v>
      </c>
      <c r="CR358" s="72">
        <f t="shared" si="2957"/>
        <v>361</v>
      </c>
      <c r="CS358" s="72">
        <f t="shared" si="2958"/>
        <v>378</v>
      </c>
      <c r="CT358" s="23">
        <f t="shared" si="2959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30" x14ac:dyDescent="0.2">
      <c r="A359" s="3" t="str">
        <f t="shared" si="2960"/>
        <v>ox1r_human_4ZJ8</v>
      </c>
      <c r="B359" s="3" t="s">
        <v>1170</v>
      </c>
      <c r="C359" s="3" t="s">
        <v>90</v>
      </c>
      <c r="D359" s="3" t="str">
        <f>IFERROR(MID(VLOOKUP($B359,Seqs!$A:$B,2,0),E359,1),"")</f>
        <v>E</v>
      </c>
      <c r="E359" s="3">
        <v>46</v>
      </c>
      <c r="F359" s="3" t="str">
        <f>IFERROR(MID(VLOOKUP($B359,Seqs!$A:$B,2,0),G359,1),"")</f>
        <v>N</v>
      </c>
      <c r="G359" s="3">
        <v>74</v>
      </c>
      <c r="H359" s="3" t="str">
        <f>IFERROR(MID(VLOOKUP($B359,Seqs!$A:$B,2,0),I359,1),"")</f>
        <v>H</v>
      </c>
      <c r="I359" s="23">
        <v>75</v>
      </c>
      <c r="J359" s="3" t="str">
        <f>IFERROR(MID(VLOOKUP($B359,Seqs!$A:$B,2,0),K359,1),"")</f>
        <v>R</v>
      </c>
      <c r="K359" s="23">
        <v>78</v>
      </c>
      <c r="L359" s="3" t="str">
        <f>IFERROR(MID(VLOOKUP($B359,Seqs!$A:$B,2,0),M359,1),"")</f>
        <v>T</v>
      </c>
      <c r="M359" s="3">
        <v>79</v>
      </c>
      <c r="N359" s="3" t="str">
        <f>IFERROR(MID(VLOOKUP($B359,Seqs!$A:$B,2,0),O359,1),"")</f>
        <v>E</v>
      </c>
      <c r="O359" s="3">
        <v>110</v>
      </c>
      <c r="P359" s="3" t="str">
        <f>IFERROR(MID(VLOOKUP($B359,Seqs!$A:$B,2,0),Q359,1),"")</f>
        <v>S</v>
      </c>
      <c r="Q359" s="3">
        <v>111</v>
      </c>
      <c r="R359" s="3" t="str">
        <f>IFERROR(MID(VLOOKUP($B359,Seqs!$A:$B,2,0),S359,1),"")</f>
        <v>F</v>
      </c>
      <c r="S359" s="3">
        <v>114</v>
      </c>
      <c r="T359" s="3" t="str">
        <f>IFERROR(MID(VLOOKUP($B359,Seqs!$A:$B,2,0),U359,1),"")</f>
        <v>G</v>
      </c>
      <c r="U359" s="3">
        <v>115</v>
      </c>
      <c r="V359" s="3" t="str">
        <f>IFERROR(MID(VLOOKUP($B359,Seqs!$A:$B,2,0),W359,1),"")</f>
        <v>H</v>
      </c>
      <c r="W359" s="3">
        <v>150</v>
      </c>
      <c r="X359" s="3" t="str">
        <f>IFERROR(MID(VLOOKUP($B359,Seqs!$A:$B,2,0),Y359,1),"")</f>
        <v>P</v>
      </c>
      <c r="Y359" s="3">
        <v>151</v>
      </c>
      <c r="Z359" s="3" t="str">
        <f>IFERROR(MID(VLOOKUP($B359,Seqs!$A:$B,2,0),AA359,1),"")</f>
        <v>F</v>
      </c>
      <c r="AA359" s="3">
        <v>154</v>
      </c>
      <c r="AB359" s="3" t="str">
        <f>IFERROR(MID(VLOOKUP($B359,Seqs!$A:$B,2,0),AC359,1),"")</f>
        <v>T</v>
      </c>
      <c r="AC359" s="9">
        <v>157</v>
      </c>
      <c r="AD359" s="3" t="str">
        <f>IFERROR(MID(VLOOKUP($B359,Seqs!$A:$B,2,0),AE359,1),"")</f>
        <v>M</v>
      </c>
      <c r="AE359" s="3">
        <v>183</v>
      </c>
      <c r="AF359" s="3" t="str">
        <f>IFERROR(MID(VLOOKUP($B359,Seqs!$A:$B,2,0),AG359,1),"")</f>
        <v>C</v>
      </c>
      <c r="AG359" s="3">
        <v>202</v>
      </c>
      <c r="AH359" s="3" t="str">
        <f>IFERROR(MID(VLOOKUP($B359,Seqs!$A:$B,2,0),AI359,1),"")</f>
        <v>E</v>
      </c>
      <c r="AI359" s="3">
        <v>204</v>
      </c>
      <c r="AJ359" s="3" t="str">
        <f>IFERROR(MID(VLOOKUP($B359,Seqs!$A:$B,2,0),AK359,1),"")</f>
        <v>L</v>
      </c>
      <c r="AK359" s="3">
        <v>210</v>
      </c>
      <c r="AL359" s="3" t="str">
        <f>IFERROR(MID(VLOOKUP($B359,Seqs!$A:$B,2,0),AM359,1),"")</f>
        <v>L</v>
      </c>
      <c r="AM359" s="3">
        <v>242</v>
      </c>
      <c r="AN359" s="3" t="str">
        <f>IFERROR(MID(VLOOKUP($B359,Seqs!$A:$B,2,0),AO359,1),"")</f>
        <v>K</v>
      </c>
      <c r="AO359" s="3">
        <v>288</v>
      </c>
      <c r="AP359" s="3" t="str">
        <f>IFERROR(MID(VLOOKUP($B359,Seqs!$A:$B,2,0),AQ359,1),"")</f>
        <v>F</v>
      </c>
      <c r="AQ359" s="3">
        <v>324</v>
      </c>
      <c r="AR359" s="3" t="str">
        <f>IFERROR(MID(VLOOKUP($B359,Seqs!$A:$B,2,0),AS359,1),"")</f>
        <v>R</v>
      </c>
      <c r="AS359" s="3">
        <v>333</v>
      </c>
      <c r="AT359" s="3" t="str">
        <f>IFERROR(MID(VLOOKUP($B359,Seqs!$A:$B,2,0),AU359,1),"")</f>
        <v>L</v>
      </c>
      <c r="AU359" s="3">
        <v>361</v>
      </c>
      <c r="AV359" s="3" t="str">
        <f>IFERROR(MID(VLOOKUP($B359,Seqs!$A:$B,2,0),AW359,1),"")</f>
        <v>S</v>
      </c>
      <c r="AW359" s="3">
        <v>362</v>
      </c>
      <c r="AX359" s="3" t="str">
        <f>IFERROR(MID(VLOOKUP($B359,Seqs!$A:$B,2,0),AY359,1),"")</f>
        <v>F</v>
      </c>
      <c r="AY359" s="3">
        <v>373</v>
      </c>
      <c r="AZ359" s="77" t="str">
        <f>VLOOKUP(B359,Classification!A:D,2,0)</f>
        <v>A</v>
      </c>
      <c r="BA359" s="94" t="str">
        <f>VLOOKUP(B359,Classification!A:D,4,0)</f>
        <v>Orexin</v>
      </c>
      <c r="BB359" s="27" t="b">
        <f t="shared" si="2961"/>
        <v>1</v>
      </c>
      <c r="BC359" s="23">
        <f t="shared" si="2934"/>
        <v>250</v>
      </c>
      <c r="BD359" s="4" t="s">
        <v>23</v>
      </c>
      <c r="BE359" s="3" t="s">
        <v>1370</v>
      </c>
      <c r="BF359" s="118">
        <v>2.75</v>
      </c>
      <c r="BG359" s="49" t="s">
        <v>1373</v>
      </c>
      <c r="BH359" s="49" t="s">
        <v>1373</v>
      </c>
      <c r="BI359" s="1"/>
      <c r="BJ359" s="70" t="s">
        <v>1283</v>
      </c>
      <c r="BK359" s="57" t="s">
        <v>1283</v>
      </c>
      <c r="BL359" s="57" t="s">
        <v>1283</v>
      </c>
      <c r="BM359" s="57" t="s">
        <v>1283</v>
      </c>
      <c r="BN359" s="57" t="s">
        <v>1283</v>
      </c>
      <c r="BO359" s="57" t="s">
        <v>1283</v>
      </c>
      <c r="BP359" s="57" t="s">
        <v>1283</v>
      </c>
      <c r="BQ359" s="57" t="s">
        <v>1283</v>
      </c>
      <c r="BR359" s="57" t="s">
        <v>1283</v>
      </c>
      <c r="BS359" s="57" t="s">
        <v>1283</v>
      </c>
      <c r="BT359" s="57" t="s">
        <v>1283</v>
      </c>
      <c r="BU359" s="57" t="s">
        <v>1283</v>
      </c>
      <c r="BV359" s="70">
        <f t="shared" si="2935"/>
        <v>46</v>
      </c>
      <c r="BW359" s="71">
        <f t="shared" si="2936"/>
        <v>75</v>
      </c>
      <c r="BX359" s="72">
        <f t="shared" si="2937"/>
        <v>79</v>
      </c>
      <c r="BY359" s="71">
        <f t="shared" si="2938"/>
        <v>111</v>
      </c>
      <c r="BZ359" s="72">
        <f t="shared" si="2939"/>
        <v>115</v>
      </c>
      <c r="CA359" s="71">
        <f t="shared" si="2940"/>
        <v>151</v>
      </c>
      <c r="CB359" s="72">
        <f t="shared" si="2941"/>
        <v>157</v>
      </c>
      <c r="CC359" s="71">
        <f t="shared" si="2942"/>
        <v>202</v>
      </c>
      <c r="CD359" s="72">
        <f t="shared" si="2943"/>
        <v>210</v>
      </c>
      <c r="CE359" s="71">
        <f t="shared" si="2944"/>
        <v>288</v>
      </c>
      <c r="CF359" s="72">
        <f t="shared" si="2945"/>
        <v>333</v>
      </c>
      <c r="CG359" s="71">
        <f t="shared" si="2946"/>
        <v>362</v>
      </c>
      <c r="CH359" s="70">
        <f t="shared" si="2947"/>
        <v>74</v>
      </c>
      <c r="CI359" s="71">
        <f t="shared" si="2948"/>
        <v>78</v>
      </c>
      <c r="CJ359" s="72">
        <f t="shared" si="2949"/>
        <v>110</v>
      </c>
      <c r="CK359" s="72">
        <f t="shared" si="2950"/>
        <v>114</v>
      </c>
      <c r="CL359" s="72">
        <f t="shared" si="2951"/>
        <v>150</v>
      </c>
      <c r="CM359" s="72">
        <f t="shared" si="2952"/>
        <v>154</v>
      </c>
      <c r="CN359" s="72">
        <f t="shared" si="2953"/>
        <v>183</v>
      </c>
      <c r="CO359" s="72">
        <f t="shared" si="2954"/>
        <v>204</v>
      </c>
      <c r="CP359" s="72">
        <f t="shared" si="2955"/>
        <v>242</v>
      </c>
      <c r="CQ359" s="72">
        <f t="shared" si="2956"/>
        <v>324</v>
      </c>
      <c r="CR359" s="72">
        <f t="shared" si="2957"/>
        <v>361</v>
      </c>
      <c r="CS359" s="72">
        <f t="shared" si="2958"/>
        <v>373</v>
      </c>
      <c r="CT359" s="23">
        <f t="shared" si="2959"/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2"/>
    </row>
    <row r="360" spans="1:1030" x14ac:dyDescent="0.2">
      <c r="A360" s="3" t="str">
        <f t="shared" si="2960"/>
        <v>ox1r_human_4ZJC</v>
      </c>
      <c r="B360" s="3" t="s">
        <v>1170</v>
      </c>
      <c r="C360" s="3" t="s">
        <v>91</v>
      </c>
      <c r="D360" s="3" t="str">
        <f>IFERROR(MID(VLOOKUP($B360,Seqs!$A:$B,2,0),E360,1),"")</f>
        <v>E</v>
      </c>
      <c r="E360" s="3">
        <v>46</v>
      </c>
      <c r="F360" s="3" t="str">
        <f>IFERROR(MID(VLOOKUP($B360,Seqs!$A:$B,2,0),G360,1),"")</f>
        <v>N</v>
      </c>
      <c r="G360" s="3">
        <v>74</v>
      </c>
      <c r="H360" s="3" t="str">
        <f>IFERROR(MID(VLOOKUP($B360,Seqs!$A:$B,2,0),I360,1),"")</f>
        <v>H</v>
      </c>
      <c r="I360" s="23">
        <v>75</v>
      </c>
      <c r="J360" s="3" t="str">
        <f>IFERROR(MID(VLOOKUP($B360,Seqs!$A:$B,2,0),K360,1),"")</f>
        <v>R</v>
      </c>
      <c r="K360" s="23">
        <v>78</v>
      </c>
      <c r="L360" s="3" t="str">
        <f>IFERROR(MID(VLOOKUP($B360,Seqs!$A:$B,2,0),M360,1),"")</f>
        <v>T</v>
      </c>
      <c r="M360" s="3">
        <v>79</v>
      </c>
      <c r="N360" s="3" t="str">
        <f>IFERROR(MID(VLOOKUP($B360,Seqs!$A:$B,2,0),O360,1),"")</f>
        <v>E</v>
      </c>
      <c r="O360" s="3">
        <v>110</v>
      </c>
      <c r="P360" s="3" t="str">
        <f>IFERROR(MID(VLOOKUP($B360,Seqs!$A:$B,2,0),Q360,1),"")</f>
        <v>S</v>
      </c>
      <c r="Q360" s="3">
        <v>111</v>
      </c>
      <c r="R360" s="3" t="str">
        <f>IFERROR(MID(VLOOKUP($B360,Seqs!$A:$B,2,0),S360,1),"")</f>
        <v>F</v>
      </c>
      <c r="S360" s="3">
        <v>114</v>
      </c>
      <c r="T360" s="3" t="str">
        <f>IFERROR(MID(VLOOKUP($B360,Seqs!$A:$B,2,0),U360,1),"")</f>
        <v>G</v>
      </c>
      <c r="U360" s="3">
        <v>115</v>
      </c>
      <c r="V360" s="3" t="str">
        <f>IFERROR(MID(VLOOKUP($B360,Seqs!$A:$B,2,0),W360,1),"")</f>
        <v>H</v>
      </c>
      <c r="W360" s="3">
        <v>150</v>
      </c>
      <c r="X360" s="3" t="str">
        <f>IFERROR(MID(VLOOKUP($B360,Seqs!$A:$B,2,0),Y360,1),"")</f>
        <v>P</v>
      </c>
      <c r="Y360" s="3">
        <v>151</v>
      </c>
      <c r="Z360" s="3" t="str">
        <f>IFERROR(MID(VLOOKUP($B360,Seqs!$A:$B,2,0),AA360,1),"")</f>
        <v>F</v>
      </c>
      <c r="AA360" s="3">
        <v>154</v>
      </c>
      <c r="AB360" s="3" t="str">
        <f>IFERROR(MID(VLOOKUP($B360,Seqs!$A:$B,2,0),AC360,1),"")</f>
        <v>T</v>
      </c>
      <c r="AC360" s="9">
        <v>157</v>
      </c>
      <c r="AD360" s="3" t="str">
        <f>IFERROR(MID(VLOOKUP($B360,Seqs!$A:$B,2,0),AE360,1),"")</f>
        <v>M</v>
      </c>
      <c r="AE360" s="3">
        <v>183</v>
      </c>
      <c r="AF360" s="3" t="str">
        <f>IFERROR(MID(VLOOKUP($B360,Seqs!$A:$B,2,0),AG360,1),"")</f>
        <v>C</v>
      </c>
      <c r="AG360" s="3">
        <v>202</v>
      </c>
      <c r="AH360" s="3" t="str">
        <f>IFERROR(MID(VLOOKUP($B360,Seqs!$A:$B,2,0),AI360,1),"")</f>
        <v>E</v>
      </c>
      <c r="AI360" s="3">
        <v>204</v>
      </c>
      <c r="AJ360" s="3" t="str">
        <f>IFERROR(MID(VLOOKUP($B360,Seqs!$A:$B,2,0),AK360,1),"")</f>
        <v>L</v>
      </c>
      <c r="AK360" s="3">
        <v>210</v>
      </c>
      <c r="AL360" s="3" t="str">
        <f>IFERROR(MID(VLOOKUP($B360,Seqs!$A:$B,2,0),AM360,1),"")</f>
        <v>L</v>
      </c>
      <c r="AM360" s="3">
        <v>242</v>
      </c>
      <c r="AN360" s="3" t="str">
        <f>IFERROR(MID(VLOOKUP($B360,Seqs!$A:$B,2,0),AO360,1),"")</f>
        <v>K</v>
      </c>
      <c r="AO360" s="3">
        <v>288</v>
      </c>
      <c r="AP360" s="3" t="str">
        <f>IFERROR(MID(VLOOKUP($B360,Seqs!$A:$B,2,0),AQ360,1),"")</f>
        <v>F</v>
      </c>
      <c r="AQ360" s="3">
        <v>324</v>
      </c>
      <c r="AR360" s="3" t="str">
        <f>IFERROR(MID(VLOOKUP($B360,Seqs!$A:$B,2,0),AS360,1),"")</f>
        <v>R</v>
      </c>
      <c r="AS360" s="3">
        <v>333</v>
      </c>
      <c r="AT360" s="3" t="str">
        <f>IFERROR(MID(VLOOKUP($B360,Seqs!$A:$B,2,0),AU360,1),"")</f>
        <v>L</v>
      </c>
      <c r="AU360" s="3">
        <v>361</v>
      </c>
      <c r="AV360" s="3" t="str">
        <f>IFERROR(MID(VLOOKUP($B360,Seqs!$A:$B,2,0),AW360,1),"")</f>
        <v>S</v>
      </c>
      <c r="AW360" s="3">
        <v>362</v>
      </c>
      <c r="AX360" s="3" t="str">
        <f>IFERROR(MID(VLOOKUP($B360,Seqs!$A:$B,2,0),AY360,1),"")</f>
        <v>F</v>
      </c>
      <c r="AY360" s="3">
        <v>373</v>
      </c>
      <c r="AZ360" s="77" t="str">
        <f>VLOOKUP(B360,Classification!A:D,2,0)</f>
        <v>A</v>
      </c>
      <c r="BA360" s="94" t="str">
        <f>VLOOKUP(B360,Classification!A:D,4,0)</f>
        <v>Orexin</v>
      </c>
      <c r="BB360" s="27" t="b">
        <f t="shared" si="2961"/>
        <v>1</v>
      </c>
      <c r="BC360" s="23">
        <f t="shared" si="2934"/>
        <v>250</v>
      </c>
      <c r="BD360" s="2" t="s">
        <v>23</v>
      </c>
      <c r="BE360" s="3" t="s">
        <v>1370</v>
      </c>
      <c r="BF360" s="118">
        <v>2.83</v>
      </c>
      <c r="BG360" s="49" t="s">
        <v>1373</v>
      </c>
      <c r="BH360" s="49" t="s">
        <v>1373</v>
      </c>
      <c r="BI360" s="1"/>
      <c r="BJ360" s="70" t="s">
        <v>1283</v>
      </c>
      <c r="BK360" s="57" t="s">
        <v>1283</v>
      </c>
      <c r="BL360" s="57" t="s">
        <v>1283</v>
      </c>
      <c r="BM360" s="57" t="s">
        <v>1283</v>
      </c>
      <c r="BN360" s="57" t="s">
        <v>1283</v>
      </c>
      <c r="BO360" s="57" t="s">
        <v>1283</v>
      </c>
      <c r="BP360" s="57" t="s">
        <v>1283</v>
      </c>
      <c r="BQ360" s="57" t="s">
        <v>1283</v>
      </c>
      <c r="BR360" s="57" t="s">
        <v>1283</v>
      </c>
      <c r="BS360" s="57" t="s">
        <v>1283</v>
      </c>
      <c r="BT360" s="57" t="s">
        <v>1283</v>
      </c>
      <c r="BU360" s="57" t="s">
        <v>1283</v>
      </c>
      <c r="BV360" s="70">
        <f t="shared" si="2935"/>
        <v>46</v>
      </c>
      <c r="BW360" s="71">
        <f t="shared" si="2936"/>
        <v>75</v>
      </c>
      <c r="BX360" s="72">
        <f t="shared" si="2937"/>
        <v>79</v>
      </c>
      <c r="BY360" s="71">
        <f t="shared" si="2938"/>
        <v>111</v>
      </c>
      <c r="BZ360" s="72">
        <f t="shared" si="2939"/>
        <v>115</v>
      </c>
      <c r="CA360" s="71">
        <f t="shared" si="2940"/>
        <v>151</v>
      </c>
      <c r="CB360" s="72">
        <f t="shared" si="2941"/>
        <v>157</v>
      </c>
      <c r="CC360" s="71">
        <f t="shared" si="2942"/>
        <v>202</v>
      </c>
      <c r="CD360" s="72">
        <f t="shared" si="2943"/>
        <v>210</v>
      </c>
      <c r="CE360" s="71">
        <f t="shared" si="2944"/>
        <v>288</v>
      </c>
      <c r="CF360" s="72">
        <f t="shared" si="2945"/>
        <v>333</v>
      </c>
      <c r="CG360" s="71">
        <f t="shared" si="2946"/>
        <v>362</v>
      </c>
      <c r="CH360" s="70">
        <f t="shared" si="2947"/>
        <v>74</v>
      </c>
      <c r="CI360" s="71">
        <f t="shared" si="2948"/>
        <v>78</v>
      </c>
      <c r="CJ360" s="72">
        <f t="shared" si="2949"/>
        <v>110</v>
      </c>
      <c r="CK360" s="72">
        <f t="shared" si="2950"/>
        <v>114</v>
      </c>
      <c r="CL360" s="72">
        <f t="shared" si="2951"/>
        <v>150</v>
      </c>
      <c r="CM360" s="72">
        <f t="shared" si="2952"/>
        <v>154</v>
      </c>
      <c r="CN360" s="72">
        <f t="shared" si="2953"/>
        <v>183</v>
      </c>
      <c r="CO360" s="72">
        <f t="shared" si="2954"/>
        <v>204</v>
      </c>
      <c r="CP360" s="72">
        <f t="shared" si="2955"/>
        <v>242</v>
      </c>
      <c r="CQ360" s="72">
        <f t="shared" si="2956"/>
        <v>324</v>
      </c>
      <c r="CR360" s="72">
        <f t="shared" si="2957"/>
        <v>361</v>
      </c>
      <c r="CS360" s="72">
        <f t="shared" si="2958"/>
        <v>373</v>
      </c>
      <c r="CT360" s="23">
        <f t="shared" si="2959"/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2"/>
    </row>
    <row r="361" spans="1:1030" x14ac:dyDescent="0.2">
      <c r="A361" s="3" t="str">
        <f t="shared" ref="A361" si="3242">CONCATENATE(B361,"_",C361)</f>
        <v>ox1r_human_6TO7</v>
      </c>
      <c r="B361" s="3" t="s">
        <v>1170</v>
      </c>
      <c r="C361" s="3" t="s">
        <v>1621</v>
      </c>
      <c r="D361" s="3" t="str">
        <f>IFERROR(MID(VLOOKUP($B361,Seqs!$A:$B,2,0),E361,1),"")</f>
        <v>Y</v>
      </c>
      <c r="E361" s="3">
        <v>45</v>
      </c>
      <c r="F361" s="3" t="str">
        <f>IFERROR(MID(VLOOKUP($B361,Seqs!$A:$B,2,0),G361,1),"")</f>
        <v>N</v>
      </c>
      <c r="G361" s="3">
        <v>74</v>
      </c>
      <c r="H361" s="3" t="str">
        <f>IFERROR(MID(VLOOKUP($B361,Seqs!$A:$B,2,0),I361,1),"")</f>
        <v>H</v>
      </c>
      <c r="I361" s="23">
        <v>75</v>
      </c>
      <c r="J361" s="3" t="str">
        <f>IFERROR(MID(VLOOKUP($B361,Seqs!$A:$B,2,0),K361,1),"")</f>
        <v>R</v>
      </c>
      <c r="K361" s="23">
        <v>78</v>
      </c>
      <c r="L361" s="3" t="str">
        <f>IFERROR(MID(VLOOKUP($B361,Seqs!$A:$B,2,0),M361,1),"")</f>
        <v>T</v>
      </c>
      <c r="M361" s="3">
        <v>79</v>
      </c>
      <c r="N361" s="3" t="str">
        <f>IFERROR(MID(VLOOKUP($B361,Seqs!$A:$B,2,0),O361,1),"")</f>
        <v>E</v>
      </c>
      <c r="O361" s="3">
        <v>110</v>
      </c>
      <c r="P361" s="3" t="str">
        <f>IFERROR(MID(VLOOKUP($B361,Seqs!$A:$B,2,0),Q361,1),"")</f>
        <v>S</v>
      </c>
      <c r="Q361" s="3">
        <v>111</v>
      </c>
      <c r="R361" s="3" t="str">
        <f>IFERROR(MID(VLOOKUP($B361,Seqs!$A:$B,2,0),S361,1),"")</f>
        <v>F</v>
      </c>
      <c r="S361" s="3">
        <v>114</v>
      </c>
      <c r="T361" s="3" t="str">
        <f>IFERROR(MID(VLOOKUP($B361,Seqs!$A:$B,2,0),U361,1),"")</f>
        <v>G</v>
      </c>
      <c r="U361" s="3">
        <v>115</v>
      </c>
      <c r="V361" s="3" t="str">
        <f>IFERROR(MID(VLOOKUP($B361,Seqs!$A:$B,2,0),W361,1),"")</f>
        <v>H</v>
      </c>
      <c r="W361" s="3">
        <v>150</v>
      </c>
      <c r="X361" s="3" t="str">
        <f>IFERROR(MID(VLOOKUP($B361,Seqs!$A:$B,2,0),Y361,1),"")</f>
        <v>P</v>
      </c>
      <c r="Y361" s="3">
        <v>151</v>
      </c>
      <c r="Z361" s="3" t="str">
        <f>IFERROR(MID(VLOOKUP($B361,Seqs!$A:$B,2,0),AA361,1),"")</f>
        <v>F</v>
      </c>
      <c r="AA361" s="3">
        <v>154</v>
      </c>
      <c r="AB361" s="3" t="str">
        <f>IFERROR(MID(VLOOKUP($B361,Seqs!$A:$B,2,0),AC361,1),"")</f>
        <v>T</v>
      </c>
      <c r="AC361" s="3">
        <v>157</v>
      </c>
      <c r="AD361" s="3" t="str">
        <f>IFERROR(MID(VLOOKUP($B361,Seqs!$A:$B,2,0),AE361,1),"")</f>
        <v>M</v>
      </c>
      <c r="AE361" s="3">
        <v>183</v>
      </c>
      <c r="AF361" s="3" t="str">
        <f>IFERROR(MID(VLOOKUP($B361,Seqs!$A:$B,2,0),AG361,1),"")</f>
        <v>C</v>
      </c>
      <c r="AG361" s="3">
        <v>202</v>
      </c>
      <c r="AH361" s="3" t="str">
        <f>IFERROR(MID(VLOOKUP($B361,Seqs!$A:$B,2,0),AI361,1),"")</f>
        <v>E</v>
      </c>
      <c r="AI361" s="3">
        <v>204</v>
      </c>
      <c r="AJ361" s="3" t="str">
        <f>IFERROR(MID(VLOOKUP($B361,Seqs!$A:$B,2,0),AK361,1),"")</f>
        <v>L</v>
      </c>
      <c r="AK361" s="3">
        <v>210</v>
      </c>
      <c r="AL361" s="3" t="str">
        <f>IFERROR(MID(VLOOKUP($B361,Seqs!$A:$B,2,0),AM361,1),"")</f>
        <v>G</v>
      </c>
      <c r="AM361" s="3">
        <v>244</v>
      </c>
      <c r="AN361" s="3" t="str">
        <f>IFERROR(MID(VLOOKUP($B361,Seqs!$A:$B,2,0),AO361,1),"")</f>
        <v>E</v>
      </c>
      <c r="AO361" s="3">
        <v>286</v>
      </c>
      <c r="AP361" s="3" t="str">
        <f>IFERROR(MID(VLOOKUP($B361,Seqs!$A:$B,2,0),AQ361,1),"")</f>
        <v>F</v>
      </c>
      <c r="AQ361" s="3">
        <v>324</v>
      </c>
      <c r="AR361" s="3" t="str">
        <f>IFERROR(MID(VLOOKUP($B361,Seqs!$A:$B,2,0),AS361,1),"")</f>
        <v>D</v>
      </c>
      <c r="AS361" s="3">
        <v>332</v>
      </c>
      <c r="AT361" s="3" t="str">
        <f>IFERROR(MID(VLOOKUP($B361,Seqs!$A:$B,2,0),AU361,1),"")</f>
        <v>L</v>
      </c>
      <c r="AU361" s="3">
        <v>361</v>
      </c>
      <c r="AV361" s="3" t="str">
        <f>IFERROR(MID(VLOOKUP($B361,Seqs!$A:$B,2,0),AW361,1),"")</f>
        <v>S</v>
      </c>
      <c r="AW361" s="3">
        <v>362</v>
      </c>
      <c r="AX361" s="3" t="str">
        <f>IFERROR(MID(VLOOKUP($B361,Seqs!$A:$B,2,0),AY361,1),"")</f>
        <v>L</v>
      </c>
      <c r="AY361" s="3">
        <v>377</v>
      </c>
      <c r="AZ361" s="77" t="str">
        <f>VLOOKUP(B361,Classification!A:D,2,0)</f>
        <v>A</v>
      </c>
      <c r="BA361" s="94" t="str">
        <f>VLOOKUP(B361,Classification!A:D,4,0)</f>
        <v>Orexin</v>
      </c>
      <c r="BB361" s="27" t="b">
        <f t="shared" ref="BB361" si="3243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" si="3244">_xlfn.AGGREGATE(9,6,CH361:CS361)-_xlfn.AGGREGATE(9,6,BV361:CG361)+12</f>
        <v>260</v>
      </c>
      <c r="BD361" s="2" t="s">
        <v>1372</v>
      </c>
      <c r="BE361" s="3" t="s">
        <v>1370</v>
      </c>
      <c r="BF361" s="118">
        <v>2.2599999999999998</v>
      </c>
      <c r="BG361" s="49" t="s">
        <v>1</v>
      </c>
      <c r="BH361" s="49" t="s">
        <v>1</v>
      </c>
      <c r="BI361" s="1"/>
      <c r="BJ361" s="70" t="s">
        <v>1283</v>
      </c>
      <c r="BK361" s="57" t="s">
        <v>1283</v>
      </c>
      <c r="BL361" s="57" t="s">
        <v>1283</v>
      </c>
      <c r="BM361" s="57" t="s">
        <v>1283</v>
      </c>
      <c r="BN361" s="57" t="s">
        <v>1283</v>
      </c>
      <c r="BO361" s="57" t="s">
        <v>1283</v>
      </c>
      <c r="BP361" s="57" t="s">
        <v>1283</v>
      </c>
      <c r="BQ361" s="57" t="s">
        <v>1283</v>
      </c>
      <c r="BR361" s="57" t="s">
        <v>1283</v>
      </c>
      <c r="BS361" s="57" t="s">
        <v>1283</v>
      </c>
      <c r="BT361" s="57" t="s">
        <v>1283</v>
      </c>
      <c r="BU361" s="57" t="s">
        <v>1283</v>
      </c>
      <c r="BV361" s="70">
        <f t="shared" ref="BV361" si="3245">E361</f>
        <v>45</v>
      </c>
      <c r="BW361" s="71">
        <f t="shared" ref="BW361" si="3246">I361</f>
        <v>75</v>
      </c>
      <c r="BX361" s="72">
        <f t="shared" ref="BX361" si="3247">M361</f>
        <v>79</v>
      </c>
      <c r="BY361" s="71">
        <f t="shared" ref="BY361" si="3248">Q361</f>
        <v>111</v>
      </c>
      <c r="BZ361" s="72">
        <f t="shared" ref="BZ361" si="3249">U361</f>
        <v>115</v>
      </c>
      <c r="CA361" s="71">
        <f t="shared" ref="CA361" si="3250">Y361</f>
        <v>151</v>
      </c>
      <c r="CB361" s="72">
        <f t="shared" ref="CB361" si="3251">AC361</f>
        <v>157</v>
      </c>
      <c r="CC361" s="71">
        <f t="shared" ref="CC361" si="3252">AG361</f>
        <v>202</v>
      </c>
      <c r="CD361" s="72">
        <f t="shared" ref="CD361" si="3253">AK361</f>
        <v>210</v>
      </c>
      <c r="CE361" s="71">
        <f t="shared" ref="CE361" si="3254">AO361</f>
        <v>286</v>
      </c>
      <c r="CF361" s="72">
        <f t="shared" ref="CF361" si="3255">AS361</f>
        <v>332</v>
      </c>
      <c r="CG361" s="71">
        <f t="shared" ref="CG361" si="3256">AW361</f>
        <v>362</v>
      </c>
      <c r="CH361" s="70">
        <f t="shared" ref="CH361" si="3257">G361</f>
        <v>74</v>
      </c>
      <c r="CI361" s="71">
        <f t="shared" ref="CI361" si="3258">K361</f>
        <v>78</v>
      </c>
      <c r="CJ361" s="72">
        <f t="shared" ref="CJ361" si="3259">O361</f>
        <v>110</v>
      </c>
      <c r="CK361" s="72">
        <f t="shared" ref="CK361" si="3260">S361</f>
        <v>114</v>
      </c>
      <c r="CL361" s="72">
        <f t="shared" ref="CL361" si="3261">W361</f>
        <v>150</v>
      </c>
      <c r="CM361" s="72">
        <f t="shared" ref="CM361" si="3262">AA361</f>
        <v>154</v>
      </c>
      <c r="CN361" s="72">
        <f t="shared" ref="CN361" si="3263">AE361</f>
        <v>183</v>
      </c>
      <c r="CO361" s="72">
        <f t="shared" ref="CO361" si="3264">AI361</f>
        <v>204</v>
      </c>
      <c r="CP361" s="72">
        <f t="shared" ref="CP361" si="3265">AM361</f>
        <v>244</v>
      </c>
      <c r="CQ361" s="72">
        <f t="shared" ref="CQ361" si="3266">AQ361</f>
        <v>324</v>
      </c>
      <c r="CR361" s="72">
        <f t="shared" ref="CR361" si="3267">AU361</f>
        <v>361</v>
      </c>
      <c r="CS361" s="72">
        <f t="shared" ref="CS361" si="3268">AY361</f>
        <v>377</v>
      </c>
      <c r="CT361" s="23">
        <f t="shared" ref="CT361" si="3269">M361-K361</f>
        <v>1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2"/>
    </row>
    <row r="362" spans="1:1030" x14ac:dyDescent="0.2">
      <c r="A362" s="3" t="str">
        <f t="shared" ref="A362" si="3270">CONCATENATE(B362,"_",C362)</f>
        <v>ox1r_human_6TOD</v>
      </c>
      <c r="B362" s="3" t="s">
        <v>1170</v>
      </c>
      <c r="C362" s="3" t="s">
        <v>1622</v>
      </c>
      <c r="D362" s="3" t="str">
        <f>IFERROR(MID(VLOOKUP($B362,Seqs!$A:$B,2,0),E362,1),"")</f>
        <v>Y</v>
      </c>
      <c r="E362" s="3">
        <v>45</v>
      </c>
      <c r="F362" s="3" t="str">
        <f>IFERROR(MID(VLOOKUP($B362,Seqs!$A:$B,2,0),G362,1),"")</f>
        <v>N</v>
      </c>
      <c r="G362" s="3">
        <v>74</v>
      </c>
      <c r="H362" s="3" t="str">
        <f>IFERROR(MID(VLOOKUP($B362,Seqs!$A:$B,2,0),I362,1),"")</f>
        <v>H</v>
      </c>
      <c r="I362" s="23">
        <v>75</v>
      </c>
      <c r="J362" s="3" t="str">
        <f>IFERROR(MID(VLOOKUP($B362,Seqs!$A:$B,2,0),K362,1),"")</f>
        <v>R</v>
      </c>
      <c r="K362" s="23">
        <v>78</v>
      </c>
      <c r="L362" s="3" t="str">
        <f>IFERROR(MID(VLOOKUP($B362,Seqs!$A:$B,2,0),M362,1),"")</f>
        <v>T</v>
      </c>
      <c r="M362" s="3">
        <v>79</v>
      </c>
      <c r="N362" s="3" t="str">
        <f>IFERROR(MID(VLOOKUP($B362,Seqs!$A:$B,2,0),O362,1),"")</f>
        <v>E</v>
      </c>
      <c r="O362" s="3">
        <v>110</v>
      </c>
      <c r="P362" s="3" t="str">
        <f>IFERROR(MID(VLOOKUP($B362,Seqs!$A:$B,2,0),Q362,1),"")</f>
        <v>S</v>
      </c>
      <c r="Q362" s="3">
        <v>111</v>
      </c>
      <c r="R362" s="3" t="str">
        <f>IFERROR(MID(VLOOKUP($B362,Seqs!$A:$B,2,0),S362,1),"")</f>
        <v>F</v>
      </c>
      <c r="S362" s="3">
        <v>114</v>
      </c>
      <c r="T362" s="3" t="str">
        <f>IFERROR(MID(VLOOKUP($B362,Seqs!$A:$B,2,0),U362,1),"")</f>
        <v>G</v>
      </c>
      <c r="U362" s="3">
        <v>115</v>
      </c>
      <c r="V362" s="3" t="str">
        <f>IFERROR(MID(VLOOKUP($B362,Seqs!$A:$B,2,0),W362,1),"")</f>
        <v>H</v>
      </c>
      <c r="W362" s="3">
        <v>150</v>
      </c>
      <c r="X362" s="3" t="str">
        <f>IFERROR(MID(VLOOKUP($B362,Seqs!$A:$B,2,0),Y362,1),"")</f>
        <v>P</v>
      </c>
      <c r="Y362" s="3">
        <v>151</v>
      </c>
      <c r="Z362" s="3" t="str">
        <f>IFERROR(MID(VLOOKUP($B362,Seqs!$A:$B,2,0),AA362,1),"")</f>
        <v>F</v>
      </c>
      <c r="AA362" s="3">
        <v>154</v>
      </c>
      <c r="AB362" s="3" t="str">
        <f>IFERROR(MID(VLOOKUP($B362,Seqs!$A:$B,2,0),AC362,1),"")</f>
        <v>T</v>
      </c>
      <c r="AC362" s="3">
        <v>157</v>
      </c>
      <c r="AD362" s="3" t="str">
        <f>IFERROR(MID(VLOOKUP($B362,Seqs!$A:$B,2,0),AE362,1),"")</f>
        <v>M</v>
      </c>
      <c r="AE362" s="3">
        <v>183</v>
      </c>
      <c r="AF362" s="3" t="str">
        <f>IFERROR(MID(VLOOKUP($B362,Seqs!$A:$B,2,0),AG362,1),"")</f>
        <v>C</v>
      </c>
      <c r="AG362" s="3">
        <v>202</v>
      </c>
      <c r="AH362" s="3" t="str">
        <f>IFERROR(MID(VLOOKUP($B362,Seqs!$A:$B,2,0),AI362,1),"")</f>
        <v>E</v>
      </c>
      <c r="AI362" s="3">
        <v>204</v>
      </c>
      <c r="AJ362" s="3" t="str">
        <f>IFERROR(MID(VLOOKUP($B362,Seqs!$A:$B,2,0),AK362,1),"")</f>
        <v>L</v>
      </c>
      <c r="AK362" s="3">
        <v>210</v>
      </c>
      <c r="AL362" s="3" t="str">
        <f>IFERROR(MID(VLOOKUP($B362,Seqs!$A:$B,2,0),AM362,1),"")</f>
        <v>G</v>
      </c>
      <c r="AM362" s="3">
        <v>244</v>
      </c>
      <c r="AN362" s="3" t="str">
        <f>IFERROR(MID(VLOOKUP($B362,Seqs!$A:$B,2,0),AO362,1),"")</f>
        <v>E</v>
      </c>
      <c r="AO362" s="3">
        <v>286</v>
      </c>
      <c r="AP362" s="3" t="str">
        <f>IFERROR(MID(VLOOKUP($B362,Seqs!$A:$B,2,0),AQ362,1),"")</f>
        <v>F</v>
      </c>
      <c r="AQ362" s="3">
        <v>324</v>
      </c>
      <c r="AR362" s="3" t="str">
        <f>IFERROR(MID(VLOOKUP($B362,Seqs!$A:$B,2,0),AS362,1),"")</f>
        <v>D</v>
      </c>
      <c r="AS362" s="3">
        <v>332</v>
      </c>
      <c r="AT362" s="3" t="str">
        <f>IFERROR(MID(VLOOKUP($B362,Seqs!$A:$B,2,0),AU362,1),"")</f>
        <v>L</v>
      </c>
      <c r="AU362" s="3">
        <v>361</v>
      </c>
      <c r="AV362" s="3" t="str">
        <f>IFERROR(MID(VLOOKUP($B362,Seqs!$A:$B,2,0),AW362,1),"")</f>
        <v>S</v>
      </c>
      <c r="AW362" s="3">
        <v>362</v>
      </c>
      <c r="AX362" s="3" t="str">
        <f>IFERROR(MID(VLOOKUP($B362,Seqs!$A:$B,2,0),AY362,1),"")</f>
        <v>C</v>
      </c>
      <c r="AY362" s="3">
        <v>375</v>
      </c>
      <c r="AZ362" s="77" t="str">
        <f>VLOOKUP(B362,Classification!A:D,2,0)</f>
        <v>A</v>
      </c>
      <c r="BA362" s="94" t="str">
        <f>VLOOKUP(B362,Classification!A:D,4,0)</f>
        <v>Orexin</v>
      </c>
      <c r="BB362" s="27" t="b">
        <f t="shared" ref="BB362" si="3271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23">
        <f t="shared" ref="BC362" si="3272">_xlfn.AGGREGATE(9,6,CH362:CS362)-_xlfn.AGGREGATE(9,6,BV362:CG362)+12</f>
        <v>258</v>
      </c>
      <c r="BD362" s="2" t="s">
        <v>23</v>
      </c>
      <c r="BE362" s="3" t="s">
        <v>1370</v>
      </c>
      <c r="BF362" s="118">
        <v>2.11</v>
      </c>
      <c r="BG362" s="49" t="s">
        <v>1</v>
      </c>
      <c r="BH362" s="49" t="s">
        <v>1</v>
      </c>
      <c r="BI362" s="1"/>
      <c r="BJ362" s="70" t="s">
        <v>1283</v>
      </c>
      <c r="BK362" s="57" t="s">
        <v>1283</v>
      </c>
      <c r="BL362" s="57" t="s">
        <v>1283</v>
      </c>
      <c r="BM362" s="57" t="s">
        <v>1283</v>
      </c>
      <c r="BN362" s="57" t="s">
        <v>1283</v>
      </c>
      <c r="BO362" s="57" t="s">
        <v>1283</v>
      </c>
      <c r="BP362" s="57" t="s">
        <v>1283</v>
      </c>
      <c r="BQ362" s="57" t="s">
        <v>1283</v>
      </c>
      <c r="BR362" s="57" t="s">
        <v>1283</v>
      </c>
      <c r="BS362" s="57" t="s">
        <v>1283</v>
      </c>
      <c r="BT362" s="57" t="s">
        <v>1283</v>
      </c>
      <c r="BU362" s="57" t="s">
        <v>1283</v>
      </c>
      <c r="BV362" s="70">
        <f t="shared" ref="BV362" si="3273">E362</f>
        <v>45</v>
      </c>
      <c r="BW362" s="71">
        <f t="shared" ref="BW362" si="3274">I362</f>
        <v>75</v>
      </c>
      <c r="BX362" s="72">
        <f t="shared" ref="BX362" si="3275">M362</f>
        <v>79</v>
      </c>
      <c r="BY362" s="71">
        <f t="shared" ref="BY362" si="3276">Q362</f>
        <v>111</v>
      </c>
      <c r="BZ362" s="72">
        <f t="shared" ref="BZ362" si="3277">U362</f>
        <v>115</v>
      </c>
      <c r="CA362" s="71">
        <f t="shared" ref="CA362" si="3278">Y362</f>
        <v>151</v>
      </c>
      <c r="CB362" s="72">
        <f t="shared" ref="CB362" si="3279">AC362</f>
        <v>157</v>
      </c>
      <c r="CC362" s="71">
        <f t="shared" ref="CC362" si="3280">AG362</f>
        <v>202</v>
      </c>
      <c r="CD362" s="72">
        <f t="shared" ref="CD362" si="3281">AK362</f>
        <v>210</v>
      </c>
      <c r="CE362" s="71">
        <f t="shared" ref="CE362" si="3282">AO362</f>
        <v>286</v>
      </c>
      <c r="CF362" s="72">
        <f t="shared" ref="CF362" si="3283">AS362</f>
        <v>332</v>
      </c>
      <c r="CG362" s="71">
        <f t="shared" ref="CG362" si="3284">AW362</f>
        <v>362</v>
      </c>
      <c r="CH362" s="70">
        <f t="shared" ref="CH362" si="3285">G362</f>
        <v>74</v>
      </c>
      <c r="CI362" s="71">
        <f t="shared" ref="CI362" si="3286">K362</f>
        <v>78</v>
      </c>
      <c r="CJ362" s="72">
        <f t="shared" ref="CJ362" si="3287">O362</f>
        <v>110</v>
      </c>
      <c r="CK362" s="72">
        <f t="shared" ref="CK362" si="3288">S362</f>
        <v>114</v>
      </c>
      <c r="CL362" s="72">
        <f t="shared" ref="CL362" si="3289">W362</f>
        <v>150</v>
      </c>
      <c r="CM362" s="72">
        <f t="shared" ref="CM362" si="3290">AA362</f>
        <v>154</v>
      </c>
      <c r="CN362" s="72">
        <f t="shared" ref="CN362" si="3291">AE362</f>
        <v>183</v>
      </c>
      <c r="CO362" s="72">
        <f t="shared" ref="CO362" si="3292">AI362</f>
        <v>204</v>
      </c>
      <c r="CP362" s="72">
        <f t="shared" ref="CP362" si="3293">AM362</f>
        <v>244</v>
      </c>
      <c r="CQ362" s="72">
        <f t="shared" ref="CQ362" si="3294">AQ362</f>
        <v>324</v>
      </c>
      <c r="CR362" s="72">
        <f t="shared" ref="CR362" si="3295">AU362</f>
        <v>361</v>
      </c>
      <c r="CS362" s="72">
        <f t="shared" ref="CS362" si="3296">AY362</f>
        <v>375</v>
      </c>
      <c r="CT362" s="23">
        <f t="shared" ref="CT362" si="3297">M362-K362</f>
        <v>1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2"/>
    </row>
    <row r="363" spans="1:1030" x14ac:dyDescent="0.2">
      <c r="A363" s="3" t="str">
        <f t="shared" ref="A363" si="3298">CONCATENATE(B363,"_",C363)</f>
        <v>ox1r_human_6TP3</v>
      </c>
      <c r="B363" s="3" t="s">
        <v>1170</v>
      </c>
      <c r="C363" s="3" t="s">
        <v>1623</v>
      </c>
      <c r="D363" s="3" t="str">
        <f>IFERROR(MID(VLOOKUP($B363,Seqs!$A:$B,2,0),E363,1),"")</f>
        <v>Y</v>
      </c>
      <c r="E363" s="3">
        <v>45</v>
      </c>
      <c r="F363" s="3" t="str">
        <f>IFERROR(MID(VLOOKUP($B363,Seqs!$A:$B,2,0),G363,1),"")</f>
        <v>N</v>
      </c>
      <c r="G363" s="3">
        <v>74</v>
      </c>
      <c r="H363" s="3" t="str">
        <f>IFERROR(MID(VLOOKUP($B363,Seqs!$A:$B,2,0),I363,1),"")</f>
        <v>H</v>
      </c>
      <c r="I363" s="23">
        <v>75</v>
      </c>
      <c r="J363" s="3" t="str">
        <f>IFERROR(MID(VLOOKUP($B363,Seqs!$A:$B,2,0),K363,1),"")</f>
        <v>R</v>
      </c>
      <c r="K363" s="23">
        <v>78</v>
      </c>
      <c r="L363" s="3" t="str">
        <f>IFERROR(MID(VLOOKUP($B363,Seqs!$A:$B,2,0),M363,1),"")</f>
        <v>T</v>
      </c>
      <c r="M363" s="3">
        <v>79</v>
      </c>
      <c r="N363" s="3" t="str">
        <f>IFERROR(MID(VLOOKUP($B363,Seqs!$A:$B,2,0),O363,1),"")</f>
        <v>E</v>
      </c>
      <c r="O363" s="3">
        <v>110</v>
      </c>
      <c r="P363" s="3" t="str">
        <f>IFERROR(MID(VLOOKUP($B363,Seqs!$A:$B,2,0),Q363,1),"")</f>
        <v>S</v>
      </c>
      <c r="Q363" s="3">
        <v>111</v>
      </c>
      <c r="R363" s="3" t="str">
        <f>IFERROR(MID(VLOOKUP($B363,Seqs!$A:$B,2,0),S363,1),"")</f>
        <v>F</v>
      </c>
      <c r="S363" s="3">
        <v>114</v>
      </c>
      <c r="T363" s="3" t="str">
        <f>IFERROR(MID(VLOOKUP($B363,Seqs!$A:$B,2,0),U363,1),"")</f>
        <v>G</v>
      </c>
      <c r="U363" s="3">
        <v>115</v>
      </c>
      <c r="V363" s="3" t="str">
        <f>IFERROR(MID(VLOOKUP($B363,Seqs!$A:$B,2,0),W363,1),"")</f>
        <v>H</v>
      </c>
      <c r="W363" s="3">
        <v>150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T</v>
      </c>
      <c r="AC363" s="3">
        <v>157</v>
      </c>
      <c r="AD363" s="3" t="str">
        <f>IFERROR(MID(VLOOKUP($B363,Seqs!$A:$B,2,0),AE363,1),"")</f>
        <v>M</v>
      </c>
      <c r="AE363" s="3">
        <v>183</v>
      </c>
      <c r="AF363" s="3" t="str">
        <f>IFERROR(MID(VLOOKUP($B363,Seqs!$A:$B,2,0),AG363,1),"")</f>
        <v>C</v>
      </c>
      <c r="AG363" s="3">
        <v>202</v>
      </c>
      <c r="AH363" s="3" t="str">
        <f>IFERROR(MID(VLOOKUP($B363,Seqs!$A:$B,2,0),AI363,1),"")</f>
        <v>E</v>
      </c>
      <c r="AI363" s="3">
        <v>204</v>
      </c>
      <c r="AJ363" s="3" t="str">
        <f>IFERROR(MID(VLOOKUP($B363,Seqs!$A:$B,2,0),AK363,1),"")</f>
        <v>L</v>
      </c>
      <c r="AK363" s="3">
        <v>210</v>
      </c>
      <c r="AL363" s="3" t="str">
        <f>IFERROR(MID(VLOOKUP($B363,Seqs!$A:$B,2,0),AM363,1),"")</f>
        <v>W</v>
      </c>
      <c r="AM363" s="3">
        <v>243</v>
      </c>
      <c r="AN363" s="3" t="str">
        <f>IFERROR(MID(VLOOKUP($B363,Seqs!$A:$B,2,0),AO363,1),"")</f>
        <v>E</v>
      </c>
      <c r="AO363" s="3">
        <v>286</v>
      </c>
      <c r="AP363" s="3" t="str">
        <f>IFERROR(MID(VLOOKUP($B363,Seqs!$A:$B,2,0),AQ363,1),"")</f>
        <v>F</v>
      </c>
      <c r="AQ363" s="3">
        <v>324</v>
      </c>
      <c r="AR363" s="3" t="str">
        <f>IFERROR(MID(VLOOKUP($B363,Seqs!$A:$B,2,0),AS363,1),"")</f>
        <v>D</v>
      </c>
      <c r="AS363" s="3">
        <v>332</v>
      </c>
      <c r="AT363" s="3" t="str">
        <f>IFERROR(MID(VLOOKUP($B363,Seqs!$A:$B,2,0),AU363,1),"")</f>
        <v>L</v>
      </c>
      <c r="AU363" s="3">
        <v>361</v>
      </c>
      <c r="AV363" s="3" t="str">
        <f>IFERROR(MID(VLOOKUP($B363,Seqs!$A:$B,2,0),AW363,1),"")</f>
        <v>S</v>
      </c>
      <c r="AW363" s="3">
        <v>362</v>
      </c>
      <c r="AX363" s="3" t="str">
        <f>IFERROR(MID(VLOOKUP($B363,Seqs!$A:$B,2,0),AY363,1),"")</f>
        <v>L</v>
      </c>
      <c r="AY363" s="3">
        <v>377</v>
      </c>
      <c r="AZ363" s="77" t="str">
        <f>VLOOKUP(B363,Classification!A:D,2,0)</f>
        <v>A</v>
      </c>
      <c r="BA363" s="94" t="str">
        <f>VLOOKUP(B363,Classification!A:D,4,0)</f>
        <v>Orexin</v>
      </c>
      <c r="BB363" s="27" t="b">
        <f t="shared" ref="BB363" si="3299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23">
        <f t="shared" ref="BC363" si="3300">_xlfn.AGGREGATE(9,6,CH363:CS363)-_xlfn.AGGREGATE(9,6,BV363:CG363)+12</f>
        <v>256</v>
      </c>
      <c r="BD363" s="2" t="s">
        <v>23</v>
      </c>
      <c r="BE363" s="3" t="s">
        <v>1370</v>
      </c>
      <c r="BF363" s="118">
        <v>3.04</v>
      </c>
      <c r="BG363" s="49" t="s">
        <v>1</v>
      </c>
      <c r="BH363" s="49" t="s">
        <v>1</v>
      </c>
      <c r="BI363" s="1"/>
      <c r="BJ363" s="70" t="s">
        <v>1283</v>
      </c>
      <c r="BK363" s="57" t="s">
        <v>1283</v>
      </c>
      <c r="BL363" s="57" t="s">
        <v>1283</v>
      </c>
      <c r="BM363" s="57" t="s">
        <v>1283</v>
      </c>
      <c r="BN363" s="57" t="s">
        <v>1283</v>
      </c>
      <c r="BO363" s="57" t="s">
        <v>1283</v>
      </c>
      <c r="BP363" s="57" t="s">
        <v>1283</v>
      </c>
      <c r="BQ363" s="57" t="s">
        <v>1283</v>
      </c>
      <c r="BR363" s="57" t="s">
        <v>1283</v>
      </c>
      <c r="BS363" s="57" t="s">
        <v>1283</v>
      </c>
      <c r="BT363" s="57" t="s">
        <v>1283</v>
      </c>
      <c r="BU363" s="57" t="s">
        <v>1283</v>
      </c>
      <c r="BV363" s="70">
        <f t="shared" ref="BV363" si="3301">E363</f>
        <v>45</v>
      </c>
      <c r="BW363" s="71">
        <f t="shared" ref="BW363" si="3302">I363</f>
        <v>75</v>
      </c>
      <c r="BX363" s="72">
        <f t="shared" ref="BX363" si="3303">M363</f>
        <v>79</v>
      </c>
      <c r="BY363" s="71">
        <f t="shared" ref="BY363" si="3304">Q363</f>
        <v>111</v>
      </c>
      <c r="BZ363" s="72">
        <f t="shared" ref="BZ363" si="3305">U363</f>
        <v>115</v>
      </c>
      <c r="CA363" s="71" t="str">
        <f t="shared" ref="CA363" si="3306">Y363</f>
        <v>-</v>
      </c>
      <c r="CB363" s="72">
        <f t="shared" ref="CB363" si="3307">AC363</f>
        <v>157</v>
      </c>
      <c r="CC363" s="71">
        <f t="shared" ref="CC363" si="3308">AG363</f>
        <v>202</v>
      </c>
      <c r="CD363" s="72">
        <f t="shared" ref="CD363" si="3309">AK363</f>
        <v>210</v>
      </c>
      <c r="CE363" s="71">
        <f t="shared" ref="CE363" si="3310">AO363</f>
        <v>286</v>
      </c>
      <c r="CF363" s="72">
        <f t="shared" ref="CF363" si="3311">AS363</f>
        <v>332</v>
      </c>
      <c r="CG363" s="71">
        <f t="shared" ref="CG363" si="3312">AW363</f>
        <v>362</v>
      </c>
      <c r="CH363" s="70">
        <f t="shared" ref="CH363" si="3313">G363</f>
        <v>74</v>
      </c>
      <c r="CI363" s="71">
        <f t="shared" ref="CI363" si="3314">K363</f>
        <v>78</v>
      </c>
      <c r="CJ363" s="72">
        <f t="shared" ref="CJ363" si="3315">O363</f>
        <v>110</v>
      </c>
      <c r="CK363" s="72">
        <f t="shared" ref="CK363" si="3316">S363</f>
        <v>114</v>
      </c>
      <c r="CL363" s="72">
        <f t="shared" ref="CL363" si="3317">W363</f>
        <v>150</v>
      </c>
      <c r="CM363" s="72" t="str">
        <f t="shared" ref="CM363" si="3318">AA363</f>
        <v>-</v>
      </c>
      <c r="CN363" s="72">
        <f t="shared" ref="CN363" si="3319">AE363</f>
        <v>183</v>
      </c>
      <c r="CO363" s="72">
        <f t="shared" ref="CO363" si="3320">AI363</f>
        <v>204</v>
      </c>
      <c r="CP363" s="72">
        <f t="shared" ref="CP363" si="3321">AM363</f>
        <v>243</v>
      </c>
      <c r="CQ363" s="72">
        <f t="shared" ref="CQ363" si="3322">AQ363</f>
        <v>324</v>
      </c>
      <c r="CR363" s="72">
        <f t="shared" ref="CR363" si="3323">AU363</f>
        <v>361</v>
      </c>
      <c r="CS363" s="72">
        <f t="shared" ref="CS363" si="3324">AY363</f>
        <v>377</v>
      </c>
      <c r="CT363" s="23">
        <f t="shared" ref="CT363" si="3325">M363-K363</f>
        <v>1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2"/>
    </row>
    <row r="364" spans="1:1030" x14ac:dyDescent="0.2">
      <c r="A364" s="3" t="str">
        <f t="shared" ref="A364" si="3326">CONCATENATE(B364,"_",C364)</f>
        <v>ox1r_human_6TP4</v>
      </c>
      <c r="B364" s="3" t="s">
        <v>1170</v>
      </c>
      <c r="C364" s="3" t="s">
        <v>1624</v>
      </c>
      <c r="D364" s="3" t="str">
        <f>IFERROR(MID(VLOOKUP($B364,Seqs!$A:$B,2,0),E364,1),"")</f>
        <v>E</v>
      </c>
      <c r="E364" s="3">
        <v>46</v>
      </c>
      <c r="F364" s="3" t="str">
        <f>IFERROR(MID(VLOOKUP($B364,Seqs!$A:$B,2,0),G364,1),"")</f>
        <v>N</v>
      </c>
      <c r="G364" s="3">
        <v>74</v>
      </c>
      <c r="H364" s="3" t="str">
        <f>IFERROR(MID(VLOOKUP($B364,Seqs!$A:$B,2,0),I364,1),"")</f>
        <v>H</v>
      </c>
      <c r="I364" s="23">
        <v>75</v>
      </c>
      <c r="J364" s="3" t="str">
        <f>IFERROR(MID(VLOOKUP($B364,Seqs!$A:$B,2,0),K364,1),"")</f>
        <v>R</v>
      </c>
      <c r="K364" s="23">
        <v>78</v>
      </c>
      <c r="L364" s="3" t="str">
        <f>IFERROR(MID(VLOOKUP($B364,Seqs!$A:$B,2,0),M364,1),"")</f>
        <v>T</v>
      </c>
      <c r="M364" s="3">
        <v>79</v>
      </c>
      <c r="N364" s="3" t="str">
        <f>IFERROR(MID(VLOOKUP($B364,Seqs!$A:$B,2,0),O364,1),"")</f>
        <v>E</v>
      </c>
      <c r="O364" s="3">
        <v>110</v>
      </c>
      <c r="P364" s="3" t="str">
        <f>IFERROR(MID(VLOOKUP($B364,Seqs!$A:$B,2,0),Q364,1),"")</f>
        <v>S</v>
      </c>
      <c r="Q364" s="3">
        <v>111</v>
      </c>
      <c r="R364" s="3" t="str">
        <f>IFERROR(MID(VLOOKUP($B364,Seqs!$A:$B,2,0),S364,1),"")</f>
        <v>F</v>
      </c>
      <c r="S364" s="3">
        <v>114</v>
      </c>
      <c r="T364" s="3" t="str">
        <f>IFERROR(MID(VLOOKUP($B364,Seqs!$A:$B,2,0),U364,1),"")</f>
        <v>G</v>
      </c>
      <c r="U364" s="3">
        <v>115</v>
      </c>
      <c r="V364" s="3" t="str">
        <f>IFERROR(MID(VLOOKUP($B364,Seqs!$A:$B,2,0),W364,1),"")</f>
        <v>H</v>
      </c>
      <c r="W364" s="3">
        <v>150</v>
      </c>
      <c r="X364" s="3" t="str">
        <f>IFERROR(MID(VLOOKUP($B364,Seqs!$A:$B,2,0),Y364,1),"")</f>
        <v>P</v>
      </c>
      <c r="Y364" s="3">
        <v>151</v>
      </c>
      <c r="Z364" s="3" t="str">
        <f>IFERROR(MID(VLOOKUP($B364,Seqs!$A:$B,2,0),AA364,1),"")</f>
        <v>F</v>
      </c>
      <c r="AA364" s="3">
        <v>154</v>
      </c>
      <c r="AB364" s="3" t="str">
        <f>IFERROR(MID(VLOOKUP($B364,Seqs!$A:$B,2,0),AC364,1),"")</f>
        <v>T</v>
      </c>
      <c r="AC364" s="3">
        <v>157</v>
      </c>
      <c r="AD364" s="3" t="str">
        <f>IFERROR(MID(VLOOKUP($B364,Seqs!$A:$B,2,0),AE364,1),"")</f>
        <v>M</v>
      </c>
      <c r="AE364" s="3">
        <v>183</v>
      </c>
      <c r="AF364" s="3" t="str">
        <f>IFERROR(MID(VLOOKUP($B364,Seqs!$A:$B,2,0),AG364,1),"")</f>
        <v>C</v>
      </c>
      <c r="AG364" s="3">
        <v>202</v>
      </c>
      <c r="AH364" s="3" t="str">
        <f>IFERROR(MID(VLOOKUP($B364,Seqs!$A:$B,2,0),AI364,1),"")</f>
        <v>E</v>
      </c>
      <c r="AI364" s="3">
        <v>204</v>
      </c>
      <c r="AJ364" s="3" t="str">
        <f>IFERROR(MID(VLOOKUP($B364,Seqs!$A:$B,2,0),AK364,1),"")</f>
        <v>L</v>
      </c>
      <c r="AK364" s="3">
        <v>210</v>
      </c>
      <c r="AL364" s="3" t="str">
        <f>IFERROR(MID(VLOOKUP($B364,Seqs!$A:$B,2,0),AM364,1),"")</f>
        <v>W</v>
      </c>
      <c r="AM364" s="3">
        <v>243</v>
      </c>
      <c r="AN364" s="3" t="str">
        <f>IFERROR(MID(VLOOKUP($B364,Seqs!$A:$B,2,0),AO364,1),"")</f>
        <v>E</v>
      </c>
      <c r="AO364" s="3">
        <v>286</v>
      </c>
      <c r="AP364" s="3" t="str">
        <f>IFERROR(MID(VLOOKUP($B364,Seqs!$A:$B,2,0),AQ364,1),"")</f>
        <v>F</v>
      </c>
      <c r="AQ364" s="3">
        <v>324</v>
      </c>
      <c r="AR364" s="3" t="str">
        <f>IFERROR(MID(VLOOKUP($B364,Seqs!$A:$B,2,0),AS364,1),"")</f>
        <v>D</v>
      </c>
      <c r="AS364" s="3">
        <v>332</v>
      </c>
      <c r="AT364" s="3" t="str">
        <f>IFERROR(MID(VLOOKUP($B364,Seqs!$A:$B,2,0),AU364,1),"")</f>
        <v>L</v>
      </c>
      <c r="AU364" s="3">
        <v>361</v>
      </c>
      <c r="AV364" s="3" t="str">
        <f>IFERROR(MID(VLOOKUP($B364,Seqs!$A:$B,2,0),AW364,1),"")</f>
        <v>S</v>
      </c>
      <c r="AW364" s="3">
        <v>362</v>
      </c>
      <c r="AX364" s="3" t="str">
        <f>IFERROR(MID(VLOOKUP($B364,Seqs!$A:$B,2,0),AY364,1),"")</f>
        <v>L</v>
      </c>
      <c r="AY364" s="3">
        <v>377</v>
      </c>
      <c r="AZ364" s="77" t="str">
        <f>VLOOKUP(B364,Classification!A:D,2,0)</f>
        <v>A</v>
      </c>
      <c r="BA364" s="94" t="str">
        <f>VLOOKUP(B364,Classification!A:D,4,0)</f>
        <v>Orexin</v>
      </c>
      <c r="BB364" s="27" t="b">
        <f t="shared" ref="BB364" si="3327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3328">_xlfn.AGGREGATE(9,6,CH364:CS364)-_xlfn.AGGREGATE(9,6,BV364:CG364)+12</f>
        <v>258</v>
      </c>
      <c r="BD364" s="2" t="s">
        <v>23</v>
      </c>
      <c r="BE364" s="3" t="s">
        <v>1370</v>
      </c>
      <c r="BF364" s="118">
        <v>3.01</v>
      </c>
      <c r="BG364" s="49" t="s">
        <v>1277</v>
      </c>
      <c r="BH364" s="49" t="s">
        <v>1277</v>
      </c>
      <c r="BI364" s="1"/>
      <c r="BJ364" s="70" t="s">
        <v>1283</v>
      </c>
      <c r="BK364" s="57" t="s">
        <v>1283</v>
      </c>
      <c r="BL364" s="57" t="s">
        <v>1283</v>
      </c>
      <c r="BM364" s="57" t="s">
        <v>1283</v>
      </c>
      <c r="BN364" s="57" t="s">
        <v>1283</v>
      </c>
      <c r="BO364" s="57" t="s">
        <v>1283</v>
      </c>
      <c r="BP364" s="57" t="s">
        <v>1283</v>
      </c>
      <c r="BQ364" s="57" t="s">
        <v>1283</v>
      </c>
      <c r="BR364" s="57" t="s">
        <v>1283</v>
      </c>
      <c r="BS364" s="57" t="s">
        <v>1283</v>
      </c>
      <c r="BT364" s="57" t="s">
        <v>1283</v>
      </c>
      <c r="BU364" s="57" t="s">
        <v>1283</v>
      </c>
      <c r="BV364" s="70">
        <f t="shared" ref="BV364" si="3329">E364</f>
        <v>46</v>
      </c>
      <c r="BW364" s="71">
        <f t="shared" ref="BW364" si="3330">I364</f>
        <v>75</v>
      </c>
      <c r="BX364" s="72">
        <f t="shared" ref="BX364" si="3331">M364</f>
        <v>79</v>
      </c>
      <c r="BY364" s="71">
        <f t="shared" ref="BY364" si="3332">Q364</f>
        <v>111</v>
      </c>
      <c r="BZ364" s="72">
        <f t="shared" ref="BZ364" si="3333">U364</f>
        <v>115</v>
      </c>
      <c r="CA364" s="71">
        <f t="shared" ref="CA364" si="3334">Y364</f>
        <v>151</v>
      </c>
      <c r="CB364" s="72">
        <f t="shared" ref="CB364" si="3335">AC364</f>
        <v>157</v>
      </c>
      <c r="CC364" s="71">
        <f t="shared" ref="CC364" si="3336">AG364</f>
        <v>202</v>
      </c>
      <c r="CD364" s="72">
        <f t="shared" ref="CD364" si="3337">AK364</f>
        <v>210</v>
      </c>
      <c r="CE364" s="71">
        <f t="shared" ref="CE364" si="3338">AO364</f>
        <v>286</v>
      </c>
      <c r="CF364" s="72">
        <f t="shared" ref="CF364" si="3339">AS364</f>
        <v>332</v>
      </c>
      <c r="CG364" s="71">
        <f t="shared" ref="CG364" si="3340">AW364</f>
        <v>362</v>
      </c>
      <c r="CH364" s="70">
        <f t="shared" ref="CH364" si="3341">G364</f>
        <v>74</v>
      </c>
      <c r="CI364" s="71">
        <f t="shared" ref="CI364" si="3342">K364</f>
        <v>78</v>
      </c>
      <c r="CJ364" s="72">
        <f t="shared" ref="CJ364" si="3343">O364</f>
        <v>110</v>
      </c>
      <c r="CK364" s="72">
        <f t="shared" ref="CK364" si="3344">S364</f>
        <v>114</v>
      </c>
      <c r="CL364" s="72">
        <f t="shared" ref="CL364" si="3345">W364</f>
        <v>150</v>
      </c>
      <c r="CM364" s="72">
        <f t="shared" ref="CM364" si="3346">AA364</f>
        <v>154</v>
      </c>
      <c r="CN364" s="72">
        <f t="shared" ref="CN364" si="3347">AE364</f>
        <v>183</v>
      </c>
      <c r="CO364" s="72">
        <f t="shared" ref="CO364" si="3348">AI364</f>
        <v>204</v>
      </c>
      <c r="CP364" s="72">
        <f t="shared" ref="CP364" si="3349">AM364</f>
        <v>243</v>
      </c>
      <c r="CQ364" s="72">
        <f t="shared" ref="CQ364" si="3350">AQ364</f>
        <v>324</v>
      </c>
      <c r="CR364" s="72">
        <f t="shared" ref="CR364" si="3351">AU364</f>
        <v>361</v>
      </c>
      <c r="CS364" s="72">
        <f t="shared" ref="CS364" si="3352">AY364</f>
        <v>377</v>
      </c>
      <c r="CT364" s="23">
        <f t="shared" ref="CT364" si="3353">M364-K364</f>
        <v>1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2"/>
    </row>
    <row r="365" spans="1:1030" x14ac:dyDescent="0.2">
      <c r="A365" s="3" t="str">
        <f t="shared" ref="A365" si="3354">CONCATENATE(B365,"_",C365)</f>
        <v>ox1r_human_6TP6</v>
      </c>
      <c r="B365" s="3" t="s">
        <v>1170</v>
      </c>
      <c r="C365" s="3" t="s">
        <v>1625</v>
      </c>
      <c r="D365" s="3" t="str">
        <f>IFERROR(MID(VLOOKUP($B365,Seqs!$A:$B,2,0),E365,1),"")</f>
        <v>Y</v>
      </c>
      <c r="E365" s="3">
        <v>45</v>
      </c>
      <c r="F365" s="3" t="str">
        <f>IFERROR(MID(VLOOKUP($B365,Seqs!$A:$B,2,0),G365,1),"")</f>
        <v>N</v>
      </c>
      <c r="G365" s="3">
        <v>74</v>
      </c>
      <c r="H365" s="3" t="str">
        <f>IFERROR(MID(VLOOKUP($B365,Seqs!$A:$B,2,0),I365,1),"")</f>
        <v>H</v>
      </c>
      <c r="I365" s="23">
        <v>75</v>
      </c>
      <c r="J365" s="3" t="str">
        <f>IFERROR(MID(VLOOKUP($B365,Seqs!$A:$B,2,0),K365,1),"")</f>
        <v>R</v>
      </c>
      <c r="K365" s="23">
        <v>78</v>
      </c>
      <c r="L365" s="3" t="str">
        <f>IFERROR(MID(VLOOKUP($B365,Seqs!$A:$B,2,0),M365,1),"")</f>
        <v>T</v>
      </c>
      <c r="M365" s="3">
        <v>79</v>
      </c>
      <c r="N365" s="3" t="str">
        <f>IFERROR(MID(VLOOKUP($B365,Seqs!$A:$B,2,0),O365,1),"")</f>
        <v>E</v>
      </c>
      <c r="O365" s="3">
        <v>110</v>
      </c>
      <c r="P365" s="3" t="str">
        <f>IFERROR(MID(VLOOKUP($B365,Seqs!$A:$B,2,0),Q365,1),"")</f>
        <v>S</v>
      </c>
      <c r="Q365" s="3">
        <v>111</v>
      </c>
      <c r="R365" s="3" t="str">
        <f>IFERROR(MID(VLOOKUP($B365,Seqs!$A:$B,2,0),S365,1),"")</f>
        <v>F</v>
      </c>
      <c r="S365" s="3">
        <v>114</v>
      </c>
      <c r="T365" s="3" t="str">
        <f>IFERROR(MID(VLOOKUP($B365,Seqs!$A:$B,2,0),U365,1),"")</f>
        <v>G</v>
      </c>
      <c r="U365" s="3">
        <v>115</v>
      </c>
      <c r="V365" s="3" t="str">
        <f>IFERROR(MID(VLOOKUP($B365,Seqs!$A:$B,2,0),W365,1),"")</f>
        <v>H</v>
      </c>
      <c r="W365" s="3">
        <v>150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T</v>
      </c>
      <c r="AC365" s="3">
        <v>157</v>
      </c>
      <c r="AD365" s="3" t="str">
        <f>IFERROR(MID(VLOOKUP($B365,Seqs!$A:$B,2,0),AE365,1),"")</f>
        <v>M</v>
      </c>
      <c r="AE365" s="3">
        <v>183</v>
      </c>
      <c r="AF365" s="3" t="str">
        <f>IFERROR(MID(VLOOKUP($B365,Seqs!$A:$B,2,0),AG365,1),"")</f>
        <v>C</v>
      </c>
      <c r="AG365" s="3">
        <v>202</v>
      </c>
      <c r="AH365" s="3" t="str">
        <f>IFERROR(MID(VLOOKUP($B365,Seqs!$A:$B,2,0),AI365,1),"")</f>
        <v>E</v>
      </c>
      <c r="AI365" s="3">
        <v>204</v>
      </c>
      <c r="AJ365" s="3" t="str">
        <f>IFERROR(MID(VLOOKUP($B365,Seqs!$A:$B,2,0),AK365,1),"")</f>
        <v>L</v>
      </c>
      <c r="AK365" s="3">
        <v>210</v>
      </c>
      <c r="AL365" s="3" t="str">
        <f>IFERROR(MID(VLOOKUP($B365,Seqs!$A:$B,2,0),AM365,1),"")</f>
        <v>W</v>
      </c>
      <c r="AM365" s="3">
        <v>243</v>
      </c>
      <c r="AN365" s="3" t="str">
        <f>IFERROR(MID(VLOOKUP($B365,Seqs!$A:$B,2,0),AO365,1),"")</f>
        <v>E</v>
      </c>
      <c r="AO365" s="3">
        <v>286</v>
      </c>
      <c r="AP365" s="3" t="str">
        <f>IFERROR(MID(VLOOKUP($B365,Seqs!$A:$B,2,0),AQ365,1),"")</f>
        <v>F</v>
      </c>
      <c r="AQ365" s="3">
        <v>324</v>
      </c>
      <c r="AR365" s="3" t="str">
        <f>IFERROR(MID(VLOOKUP($B365,Seqs!$A:$B,2,0),AS365,1),"")</f>
        <v>D</v>
      </c>
      <c r="AS365" s="3">
        <v>332</v>
      </c>
      <c r="AT365" s="3" t="str">
        <f>IFERROR(MID(VLOOKUP($B365,Seqs!$A:$B,2,0),AU365,1),"")</f>
        <v>L</v>
      </c>
      <c r="AU365" s="3">
        <v>361</v>
      </c>
      <c r="AV365" s="3" t="str">
        <f>IFERROR(MID(VLOOKUP($B365,Seqs!$A:$B,2,0),AW365,1),"")</f>
        <v>S</v>
      </c>
      <c r="AW365" s="3">
        <v>362</v>
      </c>
      <c r="AX365" s="3" t="str">
        <f>IFERROR(MID(VLOOKUP($B365,Seqs!$A:$B,2,0),AY365,1),"")</f>
        <v>L</v>
      </c>
      <c r="AY365" s="3">
        <v>377</v>
      </c>
      <c r="AZ365" s="77" t="str">
        <f>VLOOKUP(B365,Classification!A:D,2,0)</f>
        <v>A</v>
      </c>
      <c r="BA365" s="94" t="str">
        <f>VLOOKUP(B365,Classification!A:D,4,0)</f>
        <v>Orexin</v>
      </c>
      <c r="BB365" s="27" t="b">
        <f t="shared" ref="BB365" si="3355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 t="shared" ref="BC365" si="3356">_xlfn.AGGREGATE(9,6,CH365:CS365)-_xlfn.AGGREGATE(9,6,BV365:CG365)+12</f>
        <v>256</v>
      </c>
      <c r="BD365" s="2" t="s">
        <v>23</v>
      </c>
      <c r="BE365" s="3" t="s">
        <v>1370</v>
      </c>
      <c r="BF365" s="118">
        <v>2.34</v>
      </c>
      <c r="BG365" s="49" t="s">
        <v>1277</v>
      </c>
      <c r="BH365" s="49" t="s">
        <v>1277</v>
      </c>
      <c r="BI365" s="1"/>
      <c r="BJ365" s="70" t="s">
        <v>1283</v>
      </c>
      <c r="BK365" s="57" t="s">
        <v>1283</v>
      </c>
      <c r="BL365" s="57" t="s">
        <v>1283</v>
      </c>
      <c r="BM365" s="57" t="s">
        <v>1283</v>
      </c>
      <c r="BN365" s="57" t="s">
        <v>1283</v>
      </c>
      <c r="BO365" s="57" t="s">
        <v>1283</v>
      </c>
      <c r="BP365" s="57" t="s">
        <v>1283</v>
      </c>
      <c r="BQ365" s="57" t="s">
        <v>1283</v>
      </c>
      <c r="BR365" s="57" t="s">
        <v>1283</v>
      </c>
      <c r="BS365" s="57" t="s">
        <v>1283</v>
      </c>
      <c r="BT365" s="57" t="s">
        <v>1283</v>
      </c>
      <c r="BU365" s="57" t="s">
        <v>1283</v>
      </c>
      <c r="BV365" s="70">
        <f t="shared" ref="BV365" si="3357">E365</f>
        <v>45</v>
      </c>
      <c r="BW365" s="71">
        <f t="shared" ref="BW365" si="3358">I365</f>
        <v>75</v>
      </c>
      <c r="BX365" s="72">
        <f t="shared" ref="BX365" si="3359">M365</f>
        <v>79</v>
      </c>
      <c r="BY365" s="71">
        <f t="shared" ref="BY365" si="3360">Q365</f>
        <v>111</v>
      </c>
      <c r="BZ365" s="72">
        <f t="shared" ref="BZ365" si="3361">U365</f>
        <v>115</v>
      </c>
      <c r="CA365" s="71" t="str">
        <f t="shared" ref="CA365" si="3362">Y365</f>
        <v>-</v>
      </c>
      <c r="CB365" s="72">
        <f t="shared" ref="CB365" si="3363">AC365</f>
        <v>157</v>
      </c>
      <c r="CC365" s="71">
        <f t="shared" ref="CC365" si="3364">AG365</f>
        <v>202</v>
      </c>
      <c r="CD365" s="72">
        <f t="shared" ref="CD365" si="3365">AK365</f>
        <v>210</v>
      </c>
      <c r="CE365" s="71">
        <f t="shared" ref="CE365" si="3366">AO365</f>
        <v>286</v>
      </c>
      <c r="CF365" s="72">
        <f t="shared" ref="CF365" si="3367">AS365</f>
        <v>332</v>
      </c>
      <c r="CG365" s="71">
        <f t="shared" ref="CG365" si="3368">AW365</f>
        <v>362</v>
      </c>
      <c r="CH365" s="70">
        <f t="shared" ref="CH365" si="3369">G365</f>
        <v>74</v>
      </c>
      <c r="CI365" s="71">
        <f t="shared" ref="CI365" si="3370">K365</f>
        <v>78</v>
      </c>
      <c r="CJ365" s="72">
        <f t="shared" ref="CJ365" si="3371">O365</f>
        <v>110</v>
      </c>
      <c r="CK365" s="72">
        <f t="shared" ref="CK365" si="3372">S365</f>
        <v>114</v>
      </c>
      <c r="CL365" s="72">
        <f t="shared" ref="CL365" si="3373">W365</f>
        <v>150</v>
      </c>
      <c r="CM365" s="72" t="str">
        <f t="shared" ref="CM365" si="3374">AA365</f>
        <v>-</v>
      </c>
      <c r="CN365" s="72">
        <f t="shared" ref="CN365" si="3375">AE365</f>
        <v>183</v>
      </c>
      <c r="CO365" s="72">
        <f t="shared" ref="CO365" si="3376">AI365</f>
        <v>204</v>
      </c>
      <c r="CP365" s="72">
        <f t="shared" ref="CP365" si="3377">AM365</f>
        <v>243</v>
      </c>
      <c r="CQ365" s="72">
        <f t="shared" ref="CQ365" si="3378">AQ365</f>
        <v>324</v>
      </c>
      <c r="CR365" s="72">
        <f t="shared" ref="CR365" si="3379">AU365</f>
        <v>361</v>
      </c>
      <c r="CS365" s="72">
        <f t="shared" ref="CS365" si="3380">AY365</f>
        <v>377</v>
      </c>
      <c r="CT365" s="23">
        <f t="shared" ref="CT365" si="3381">M365-K365</f>
        <v>1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  <c r="AMP365" s="2"/>
    </row>
    <row r="366" spans="1:1030" x14ac:dyDescent="0.2">
      <c r="A366" s="3" t="str">
        <f t="shared" ref="A366" si="3382">CONCATENATE(B366,"_",C366)</f>
        <v>ox1r_human_6TQ4</v>
      </c>
      <c r="B366" s="3" t="s">
        <v>1170</v>
      </c>
      <c r="C366" s="3" t="s">
        <v>1626</v>
      </c>
      <c r="D366" s="3" t="str">
        <f>IFERROR(MID(VLOOKUP($B366,Seqs!$A:$B,2,0),E366,1),"")</f>
        <v>Y</v>
      </c>
      <c r="E366" s="3">
        <v>45</v>
      </c>
      <c r="F366" s="3" t="str">
        <f>IFERROR(MID(VLOOKUP($B366,Seqs!$A:$B,2,0),G366,1),"")</f>
        <v>N</v>
      </c>
      <c r="G366" s="3">
        <v>74</v>
      </c>
      <c r="H366" s="3" t="str">
        <f>IFERROR(MID(VLOOKUP($B366,Seqs!$A:$B,2,0),I366,1),"")</f>
        <v>H</v>
      </c>
      <c r="I366" s="23">
        <v>75</v>
      </c>
      <c r="J366" s="3" t="str">
        <f>IFERROR(MID(VLOOKUP($B366,Seqs!$A:$B,2,0),K366,1),"")</f>
        <v>R</v>
      </c>
      <c r="K366" s="23">
        <v>78</v>
      </c>
      <c r="L366" s="3" t="str">
        <f>IFERROR(MID(VLOOKUP($B366,Seqs!$A:$B,2,0),M366,1),"")</f>
        <v>T</v>
      </c>
      <c r="M366" s="3">
        <v>79</v>
      </c>
      <c r="N366" s="3" t="str">
        <f>IFERROR(MID(VLOOKUP($B366,Seqs!$A:$B,2,0),O366,1),"")</f>
        <v>E</v>
      </c>
      <c r="O366" s="3">
        <v>110</v>
      </c>
      <c r="P366" s="3" t="str">
        <f>IFERROR(MID(VLOOKUP($B366,Seqs!$A:$B,2,0),Q366,1),"")</f>
        <v>S</v>
      </c>
      <c r="Q366" s="3">
        <v>111</v>
      </c>
      <c r="R366" s="3" t="str">
        <f>IFERROR(MID(VLOOKUP($B366,Seqs!$A:$B,2,0),S366,1),"")</f>
        <v>F</v>
      </c>
      <c r="S366" s="3">
        <v>114</v>
      </c>
      <c r="T366" s="3" t="str">
        <f>IFERROR(MID(VLOOKUP($B366,Seqs!$A:$B,2,0),U366,1),"")</f>
        <v>G</v>
      </c>
      <c r="U366" s="3">
        <v>115</v>
      </c>
      <c r="V366" s="3" t="str">
        <f>IFERROR(MID(VLOOKUP($B366,Seqs!$A:$B,2,0),W366,1),"")</f>
        <v>H</v>
      </c>
      <c r="W366" s="3">
        <v>150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T</v>
      </c>
      <c r="AC366" s="3">
        <v>157</v>
      </c>
      <c r="AD366" s="3" t="str">
        <f>IFERROR(MID(VLOOKUP($B366,Seqs!$A:$B,2,0),AE366,1),"")</f>
        <v>M</v>
      </c>
      <c r="AE366" s="3">
        <v>183</v>
      </c>
      <c r="AF366" s="3" t="str">
        <f>IFERROR(MID(VLOOKUP($B366,Seqs!$A:$B,2,0),AG366,1),"")</f>
        <v>C</v>
      </c>
      <c r="AG366" s="3">
        <v>202</v>
      </c>
      <c r="AH366" s="3" t="str">
        <f>IFERROR(MID(VLOOKUP($B366,Seqs!$A:$B,2,0),AI366,1),"")</f>
        <v>E</v>
      </c>
      <c r="AI366" s="3">
        <v>204</v>
      </c>
      <c r="AJ366" s="3" t="str">
        <f>IFERROR(MID(VLOOKUP($B366,Seqs!$A:$B,2,0),AK366,1),"")</f>
        <v>L</v>
      </c>
      <c r="AK366" s="3">
        <v>210</v>
      </c>
      <c r="AL366" s="3" t="str">
        <f>IFERROR(MID(VLOOKUP($B366,Seqs!$A:$B,2,0),AM366,1),"")</f>
        <v>W</v>
      </c>
      <c r="AM366" s="3">
        <v>243</v>
      </c>
      <c r="AN366" s="3" t="str">
        <f>IFERROR(MID(VLOOKUP($B366,Seqs!$A:$B,2,0),AO366,1),"")</f>
        <v>E</v>
      </c>
      <c r="AO366" s="3">
        <v>286</v>
      </c>
      <c r="AP366" s="3" t="str">
        <f>IFERROR(MID(VLOOKUP($B366,Seqs!$A:$B,2,0),AQ366,1),"")</f>
        <v>F</v>
      </c>
      <c r="AQ366" s="3">
        <v>324</v>
      </c>
      <c r="AR366" s="3" t="str">
        <f>IFERROR(MID(VLOOKUP($B366,Seqs!$A:$B,2,0),AS366,1),"")</f>
        <v>D</v>
      </c>
      <c r="AS366" s="3">
        <v>332</v>
      </c>
      <c r="AT366" s="3" t="str">
        <f>IFERROR(MID(VLOOKUP($B366,Seqs!$A:$B,2,0),AU366,1),"")</f>
        <v>L</v>
      </c>
      <c r="AU366" s="3">
        <v>361</v>
      </c>
      <c r="AV366" s="3" t="str">
        <f>IFERROR(MID(VLOOKUP($B366,Seqs!$A:$B,2,0),AW366,1),"")</f>
        <v>S</v>
      </c>
      <c r="AW366" s="3">
        <v>362</v>
      </c>
      <c r="AX366" s="3" t="str">
        <f>IFERROR(MID(VLOOKUP($B366,Seqs!$A:$B,2,0),AY366,1),"")</f>
        <v>C</v>
      </c>
      <c r="AY366" s="3">
        <v>376</v>
      </c>
      <c r="AZ366" s="77" t="str">
        <f>VLOOKUP(B366,Classification!A:D,2,0)</f>
        <v>A</v>
      </c>
      <c r="BA366" s="94" t="str">
        <f>VLOOKUP(B366,Classification!A:D,4,0)</f>
        <v>Orexin</v>
      </c>
      <c r="BB366" s="27" t="b">
        <f t="shared" ref="BB366" si="3383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 t="shared" ref="BC366" si="3384">_xlfn.AGGREGATE(9,6,CH366:CS366)-_xlfn.AGGREGATE(9,6,BV366:CG366)+12</f>
        <v>255</v>
      </c>
      <c r="BD366" s="2" t="s">
        <v>23</v>
      </c>
      <c r="BE366" s="3" t="s">
        <v>1370</v>
      </c>
      <c r="BF366" s="118">
        <v>2.2999999999999998</v>
      </c>
      <c r="BG366" s="49" t="s">
        <v>1277</v>
      </c>
      <c r="BH366" s="49" t="s">
        <v>1277</v>
      </c>
      <c r="BI366" s="1"/>
      <c r="BJ366" s="70" t="s">
        <v>1283</v>
      </c>
      <c r="BK366" s="57" t="s">
        <v>1283</v>
      </c>
      <c r="BL366" s="57" t="s">
        <v>1283</v>
      </c>
      <c r="BM366" s="57" t="s">
        <v>1283</v>
      </c>
      <c r="BN366" s="57" t="s">
        <v>1283</v>
      </c>
      <c r="BO366" s="57" t="s">
        <v>1283</v>
      </c>
      <c r="BP366" s="57" t="s">
        <v>1283</v>
      </c>
      <c r="BQ366" s="57" t="s">
        <v>1283</v>
      </c>
      <c r="BR366" s="57" t="s">
        <v>1283</v>
      </c>
      <c r="BS366" s="57" t="s">
        <v>1283</v>
      </c>
      <c r="BT366" s="57" t="s">
        <v>1283</v>
      </c>
      <c r="BU366" s="57" t="s">
        <v>1283</v>
      </c>
      <c r="BV366" s="70">
        <f t="shared" ref="BV366" si="3385">E366</f>
        <v>45</v>
      </c>
      <c r="BW366" s="71">
        <f t="shared" ref="BW366" si="3386">I366</f>
        <v>75</v>
      </c>
      <c r="BX366" s="72">
        <f t="shared" ref="BX366" si="3387">M366</f>
        <v>79</v>
      </c>
      <c r="BY366" s="71">
        <f t="shared" ref="BY366" si="3388">Q366</f>
        <v>111</v>
      </c>
      <c r="BZ366" s="72">
        <f t="shared" ref="BZ366" si="3389">U366</f>
        <v>115</v>
      </c>
      <c r="CA366" s="71" t="str">
        <f t="shared" ref="CA366" si="3390">Y366</f>
        <v>-</v>
      </c>
      <c r="CB366" s="72">
        <f t="shared" ref="CB366" si="3391">AC366</f>
        <v>157</v>
      </c>
      <c r="CC366" s="71">
        <f t="shared" ref="CC366" si="3392">AG366</f>
        <v>202</v>
      </c>
      <c r="CD366" s="72">
        <f t="shared" ref="CD366" si="3393">AK366</f>
        <v>210</v>
      </c>
      <c r="CE366" s="71">
        <f t="shared" ref="CE366" si="3394">AO366</f>
        <v>286</v>
      </c>
      <c r="CF366" s="72">
        <f t="shared" ref="CF366" si="3395">AS366</f>
        <v>332</v>
      </c>
      <c r="CG366" s="71">
        <f t="shared" ref="CG366" si="3396">AW366</f>
        <v>362</v>
      </c>
      <c r="CH366" s="70">
        <f t="shared" ref="CH366" si="3397">G366</f>
        <v>74</v>
      </c>
      <c r="CI366" s="71">
        <f t="shared" ref="CI366" si="3398">K366</f>
        <v>78</v>
      </c>
      <c r="CJ366" s="72">
        <f t="shared" ref="CJ366" si="3399">O366</f>
        <v>110</v>
      </c>
      <c r="CK366" s="72">
        <f t="shared" ref="CK366" si="3400">S366</f>
        <v>114</v>
      </c>
      <c r="CL366" s="72">
        <f t="shared" ref="CL366" si="3401">W366</f>
        <v>150</v>
      </c>
      <c r="CM366" s="72" t="str">
        <f t="shared" ref="CM366" si="3402">AA366</f>
        <v>-</v>
      </c>
      <c r="CN366" s="72">
        <f t="shared" ref="CN366" si="3403">AE366</f>
        <v>183</v>
      </c>
      <c r="CO366" s="72">
        <f t="shared" ref="CO366" si="3404">AI366</f>
        <v>204</v>
      </c>
      <c r="CP366" s="72">
        <f t="shared" ref="CP366" si="3405">AM366</f>
        <v>243</v>
      </c>
      <c r="CQ366" s="72">
        <f t="shared" ref="CQ366" si="3406">AQ366</f>
        <v>324</v>
      </c>
      <c r="CR366" s="72">
        <f t="shared" ref="CR366" si="3407">AU366</f>
        <v>361</v>
      </c>
      <c r="CS366" s="72">
        <f t="shared" ref="CS366" si="3408">AY366</f>
        <v>376</v>
      </c>
      <c r="CT366" s="23">
        <f t="shared" ref="CT366" si="3409">M366-K366</f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  <c r="AMP366" s="2"/>
    </row>
    <row r="367" spans="1:1030" x14ac:dyDescent="0.2">
      <c r="A367" s="3" t="str">
        <f t="shared" ref="A367" si="3410">CONCATENATE(B367,"_",C367)</f>
        <v>ox1r_human_6TQ6</v>
      </c>
      <c r="B367" s="3" t="s">
        <v>1170</v>
      </c>
      <c r="C367" s="3" t="s">
        <v>1627</v>
      </c>
      <c r="D367" s="3" t="str">
        <f>IFERROR(MID(VLOOKUP($B367,Seqs!$A:$B,2,0),E367,1),"")</f>
        <v>Y</v>
      </c>
      <c r="E367" s="3">
        <v>45</v>
      </c>
      <c r="F367" s="3" t="str">
        <f>IFERROR(MID(VLOOKUP($B367,Seqs!$A:$B,2,0),G367,1),"")</f>
        <v>N</v>
      </c>
      <c r="G367" s="3">
        <v>74</v>
      </c>
      <c r="H367" s="3" t="str">
        <f>IFERROR(MID(VLOOKUP($B367,Seqs!$A:$B,2,0),I367,1),"")</f>
        <v>H</v>
      </c>
      <c r="I367" s="23">
        <v>75</v>
      </c>
      <c r="J367" s="3" t="str">
        <f>IFERROR(MID(VLOOKUP($B367,Seqs!$A:$B,2,0),K367,1),"")</f>
        <v>R</v>
      </c>
      <c r="K367" s="23">
        <v>78</v>
      </c>
      <c r="L367" s="3" t="str">
        <f>IFERROR(MID(VLOOKUP($B367,Seqs!$A:$B,2,0),M367,1),"")</f>
        <v>T</v>
      </c>
      <c r="M367" s="3">
        <v>79</v>
      </c>
      <c r="N367" s="3" t="str">
        <f>IFERROR(MID(VLOOKUP($B367,Seqs!$A:$B,2,0),O367,1),"")</f>
        <v>E</v>
      </c>
      <c r="O367" s="3">
        <v>110</v>
      </c>
      <c r="P367" s="3" t="str">
        <f>IFERROR(MID(VLOOKUP($B367,Seqs!$A:$B,2,0),Q367,1),"")</f>
        <v>S</v>
      </c>
      <c r="Q367" s="3">
        <v>111</v>
      </c>
      <c r="R367" s="3" t="str">
        <f>IFERROR(MID(VLOOKUP($B367,Seqs!$A:$B,2,0),S367,1),"")</f>
        <v>F</v>
      </c>
      <c r="S367" s="3">
        <v>114</v>
      </c>
      <c r="T367" s="3" t="str">
        <f>IFERROR(MID(VLOOKUP($B367,Seqs!$A:$B,2,0),U367,1),"")</f>
        <v>G</v>
      </c>
      <c r="U367" s="3">
        <v>115</v>
      </c>
      <c r="V367" s="3" t="str">
        <f>IFERROR(MID(VLOOKUP($B367,Seqs!$A:$B,2,0),W367,1),"")</f>
        <v>H</v>
      </c>
      <c r="W367" s="3">
        <v>150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T</v>
      </c>
      <c r="AC367" s="3">
        <v>157</v>
      </c>
      <c r="AD367" s="3" t="str">
        <f>IFERROR(MID(VLOOKUP($B367,Seqs!$A:$B,2,0),AE367,1),"")</f>
        <v>M</v>
      </c>
      <c r="AE367" s="3">
        <v>183</v>
      </c>
      <c r="AF367" s="3" t="str">
        <f>IFERROR(MID(VLOOKUP($B367,Seqs!$A:$B,2,0),AG367,1),"")</f>
        <v>C</v>
      </c>
      <c r="AG367" s="3">
        <v>202</v>
      </c>
      <c r="AH367" s="3" t="str">
        <f>IFERROR(MID(VLOOKUP($B367,Seqs!$A:$B,2,0),AI367,1),"")</f>
        <v>E</v>
      </c>
      <c r="AI367" s="3">
        <v>204</v>
      </c>
      <c r="AJ367" s="3" t="str">
        <f>IFERROR(MID(VLOOKUP($B367,Seqs!$A:$B,2,0),AK367,1),"")</f>
        <v>L</v>
      </c>
      <c r="AK367" s="3">
        <v>210</v>
      </c>
      <c r="AL367" s="3" t="str">
        <f>IFERROR(MID(VLOOKUP($B367,Seqs!$A:$B,2,0),AM367,1),"")</f>
        <v>W</v>
      </c>
      <c r="AM367" s="3">
        <v>243</v>
      </c>
      <c r="AN367" s="3" t="str">
        <f>IFERROR(MID(VLOOKUP($B367,Seqs!$A:$B,2,0),AO367,1),"")</f>
        <v>E</v>
      </c>
      <c r="AO367" s="3">
        <v>286</v>
      </c>
      <c r="AP367" s="3" t="str">
        <f>IFERROR(MID(VLOOKUP($B367,Seqs!$A:$B,2,0),AQ367,1),"")</f>
        <v>F</v>
      </c>
      <c r="AQ367" s="3">
        <v>324</v>
      </c>
      <c r="AR367" s="3" t="str">
        <f>IFERROR(MID(VLOOKUP($B367,Seqs!$A:$B,2,0),AS367,1),"")</f>
        <v>D</v>
      </c>
      <c r="AS367" s="3">
        <v>332</v>
      </c>
      <c r="AT367" s="3" t="str">
        <f>IFERROR(MID(VLOOKUP($B367,Seqs!$A:$B,2,0),AU367,1),"")</f>
        <v>L</v>
      </c>
      <c r="AU367" s="3">
        <v>361</v>
      </c>
      <c r="AV367" s="3" t="str">
        <f>IFERROR(MID(VLOOKUP($B367,Seqs!$A:$B,2,0),AW367,1),"")</f>
        <v>S</v>
      </c>
      <c r="AW367" s="3">
        <v>362</v>
      </c>
      <c r="AX367" s="3" t="str">
        <f>IFERROR(MID(VLOOKUP($B367,Seqs!$A:$B,2,0),AY367,1),"")</f>
        <v>L</v>
      </c>
      <c r="AY367" s="3">
        <v>377</v>
      </c>
      <c r="AZ367" s="77" t="str">
        <f>VLOOKUP(B367,Classification!A:D,2,0)</f>
        <v>A</v>
      </c>
      <c r="BA367" s="94" t="str">
        <f>VLOOKUP(B367,Classification!A:D,4,0)</f>
        <v>Orexin</v>
      </c>
      <c r="BB367" s="27" t="b">
        <f t="shared" ref="BB367" si="3411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23">
        <f t="shared" ref="BC367" si="3412">_xlfn.AGGREGATE(9,6,CH367:CS367)-_xlfn.AGGREGATE(9,6,BV367:CG367)+12</f>
        <v>256</v>
      </c>
      <c r="BD367" s="2" t="s">
        <v>23</v>
      </c>
      <c r="BE367" s="3" t="s">
        <v>1370</v>
      </c>
      <c r="BF367" s="118">
        <v>2.5499999999999998</v>
      </c>
      <c r="BG367" s="49" t="s">
        <v>1277</v>
      </c>
      <c r="BH367" s="49" t="s">
        <v>1277</v>
      </c>
      <c r="BI367" s="1"/>
      <c r="BJ367" s="70" t="s">
        <v>1283</v>
      </c>
      <c r="BK367" s="57" t="s">
        <v>1283</v>
      </c>
      <c r="BL367" s="57" t="s">
        <v>1283</v>
      </c>
      <c r="BM367" s="57" t="s">
        <v>1283</v>
      </c>
      <c r="BN367" s="57" t="s">
        <v>1283</v>
      </c>
      <c r="BO367" s="57" t="s">
        <v>1283</v>
      </c>
      <c r="BP367" s="57" t="s">
        <v>1283</v>
      </c>
      <c r="BQ367" s="57" t="s">
        <v>1283</v>
      </c>
      <c r="BR367" s="57" t="s">
        <v>1283</v>
      </c>
      <c r="BS367" s="57" t="s">
        <v>1283</v>
      </c>
      <c r="BT367" s="57" t="s">
        <v>1283</v>
      </c>
      <c r="BU367" s="57" t="s">
        <v>1283</v>
      </c>
      <c r="BV367" s="70">
        <f t="shared" ref="BV367" si="3413">E367</f>
        <v>45</v>
      </c>
      <c r="BW367" s="71">
        <f t="shared" ref="BW367" si="3414">I367</f>
        <v>75</v>
      </c>
      <c r="BX367" s="72">
        <f t="shared" ref="BX367" si="3415">M367</f>
        <v>79</v>
      </c>
      <c r="BY367" s="71">
        <f t="shared" ref="BY367" si="3416">Q367</f>
        <v>111</v>
      </c>
      <c r="BZ367" s="72">
        <f t="shared" ref="BZ367" si="3417">U367</f>
        <v>115</v>
      </c>
      <c r="CA367" s="71" t="str">
        <f t="shared" ref="CA367" si="3418">Y367</f>
        <v>-</v>
      </c>
      <c r="CB367" s="72">
        <f t="shared" ref="CB367" si="3419">AC367</f>
        <v>157</v>
      </c>
      <c r="CC367" s="71">
        <f t="shared" ref="CC367" si="3420">AG367</f>
        <v>202</v>
      </c>
      <c r="CD367" s="72">
        <f t="shared" ref="CD367" si="3421">AK367</f>
        <v>210</v>
      </c>
      <c r="CE367" s="71">
        <f t="shared" ref="CE367" si="3422">AO367</f>
        <v>286</v>
      </c>
      <c r="CF367" s="72">
        <f t="shared" ref="CF367" si="3423">AS367</f>
        <v>332</v>
      </c>
      <c r="CG367" s="71">
        <f t="shared" ref="CG367" si="3424">AW367</f>
        <v>362</v>
      </c>
      <c r="CH367" s="70">
        <f t="shared" ref="CH367" si="3425">G367</f>
        <v>74</v>
      </c>
      <c r="CI367" s="71">
        <f t="shared" ref="CI367" si="3426">K367</f>
        <v>78</v>
      </c>
      <c r="CJ367" s="72">
        <f t="shared" ref="CJ367" si="3427">O367</f>
        <v>110</v>
      </c>
      <c r="CK367" s="72">
        <f t="shared" ref="CK367" si="3428">S367</f>
        <v>114</v>
      </c>
      <c r="CL367" s="72">
        <f t="shared" ref="CL367" si="3429">W367</f>
        <v>150</v>
      </c>
      <c r="CM367" s="72" t="str">
        <f t="shared" ref="CM367" si="3430">AA367</f>
        <v>-</v>
      </c>
      <c r="CN367" s="72">
        <f t="shared" ref="CN367" si="3431">AE367</f>
        <v>183</v>
      </c>
      <c r="CO367" s="72">
        <f t="shared" ref="CO367" si="3432">AI367</f>
        <v>204</v>
      </c>
      <c r="CP367" s="72">
        <f t="shared" ref="CP367" si="3433">AM367</f>
        <v>243</v>
      </c>
      <c r="CQ367" s="72">
        <f t="shared" ref="CQ367" si="3434">AQ367</f>
        <v>324</v>
      </c>
      <c r="CR367" s="72">
        <f t="shared" ref="CR367" si="3435">AU367</f>
        <v>361</v>
      </c>
      <c r="CS367" s="72">
        <f t="shared" ref="CS367" si="3436">AY367</f>
        <v>377</v>
      </c>
      <c r="CT367" s="23">
        <f t="shared" ref="CT367" si="3437">M367-K367</f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2"/>
    </row>
    <row r="368" spans="1:1030" x14ac:dyDescent="0.2">
      <c r="A368" s="3" t="str">
        <f t="shared" ref="A368" si="3438">CONCATENATE(B368,"_",C368)</f>
        <v>ox1r_human_6TQ7</v>
      </c>
      <c r="B368" s="3" t="s">
        <v>1170</v>
      </c>
      <c r="C368" s="3" t="s">
        <v>1628</v>
      </c>
      <c r="D368" s="3" t="str">
        <f>IFERROR(MID(VLOOKUP($B368,Seqs!$A:$B,2,0),E368,1),"")</f>
        <v>Y</v>
      </c>
      <c r="E368" s="3">
        <v>45</v>
      </c>
      <c r="F368" s="3" t="str">
        <f>IFERROR(MID(VLOOKUP($B368,Seqs!$A:$B,2,0),G368,1),"")</f>
        <v>N</v>
      </c>
      <c r="G368" s="3">
        <v>74</v>
      </c>
      <c r="H368" s="3" t="str">
        <f>IFERROR(MID(VLOOKUP($B368,Seqs!$A:$B,2,0),I368,1),"")</f>
        <v>H</v>
      </c>
      <c r="I368" s="23">
        <v>75</v>
      </c>
      <c r="J368" s="3" t="str">
        <f>IFERROR(MID(VLOOKUP($B368,Seqs!$A:$B,2,0),K368,1),"")</f>
        <v>R</v>
      </c>
      <c r="K368" s="23">
        <v>78</v>
      </c>
      <c r="L368" s="3" t="str">
        <f>IFERROR(MID(VLOOKUP($B368,Seqs!$A:$B,2,0),M368,1),"")</f>
        <v>T</v>
      </c>
      <c r="M368" s="3">
        <v>79</v>
      </c>
      <c r="N368" s="3" t="str">
        <f>IFERROR(MID(VLOOKUP($B368,Seqs!$A:$B,2,0),O368,1),"")</f>
        <v>E</v>
      </c>
      <c r="O368" s="3">
        <v>110</v>
      </c>
      <c r="P368" s="3" t="str">
        <f>IFERROR(MID(VLOOKUP($B368,Seqs!$A:$B,2,0),Q368,1),"")</f>
        <v>S</v>
      </c>
      <c r="Q368" s="3">
        <v>111</v>
      </c>
      <c r="R368" s="3" t="str">
        <f>IFERROR(MID(VLOOKUP($B368,Seqs!$A:$B,2,0),S368,1),"")</f>
        <v>F</v>
      </c>
      <c r="S368" s="3">
        <v>114</v>
      </c>
      <c r="T368" s="3" t="str">
        <f>IFERROR(MID(VLOOKUP($B368,Seqs!$A:$B,2,0),U368,1),"")</f>
        <v>G</v>
      </c>
      <c r="U368" s="3">
        <v>115</v>
      </c>
      <c r="V368" s="3" t="str">
        <f>IFERROR(MID(VLOOKUP($B368,Seqs!$A:$B,2,0),W368,1),"")</f>
        <v>H</v>
      </c>
      <c r="W368" s="3">
        <v>150</v>
      </c>
      <c r="X368" s="3" t="str">
        <f>IFERROR(MID(VLOOKUP($B368,Seqs!$A:$B,2,0),Y368,1),"")</f>
        <v>P</v>
      </c>
      <c r="Y368" s="3">
        <v>151</v>
      </c>
      <c r="Z368" s="3" t="str">
        <f>IFERROR(MID(VLOOKUP($B368,Seqs!$A:$B,2,0),AA368,1),"")</f>
        <v>F</v>
      </c>
      <c r="AA368" s="3">
        <v>154</v>
      </c>
      <c r="AB368" s="3" t="str">
        <f>IFERROR(MID(VLOOKUP($B368,Seqs!$A:$B,2,0),AC368,1),"")</f>
        <v>T</v>
      </c>
      <c r="AC368" s="3">
        <v>157</v>
      </c>
      <c r="AD368" s="3" t="str">
        <f>IFERROR(MID(VLOOKUP($B368,Seqs!$A:$B,2,0),AE368,1),"")</f>
        <v>M</v>
      </c>
      <c r="AE368" s="3">
        <v>183</v>
      </c>
      <c r="AF368" s="3" t="str">
        <f>IFERROR(MID(VLOOKUP($B368,Seqs!$A:$B,2,0),AG368,1),"")</f>
        <v>C</v>
      </c>
      <c r="AG368" s="3">
        <v>202</v>
      </c>
      <c r="AH368" s="3" t="str">
        <f>IFERROR(MID(VLOOKUP($B368,Seqs!$A:$B,2,0),AI368,1),"")</f>
        <v>E</v>
      </c>
      <c r="AI368" s="3">
        <v>204</v>
      </c>
      <c r="AJ368" s="3" t="str">
        <f>IFERROR(MID(VLOOKUP($B368,Seqs!$A:$B,2,0),AK368,1),"")</f>
        <v>L</v>
      </c>
      <c r="AK368" s="3">
        <v>210</v>
      </c>
      <c r="AL368" s="3" t="str">
        <f>IFERROR(MID(VLOOKUP($B368,Seqs!$A:$B,2,0),AM368,1),"")</f>
        <v>W</v>
      </c>
      <c r="AM368" s="3">
        <v>243</v>
      </c>
      <c r="AN368" s="3" t="str">
        <f>IFERROR(MID(VLOOKUP($B368,Seqs!$A:$B,2,0),AO368,1),"")</f>
        <v>E</v>
      </c>
      <c r="AO368" s="3">
        <v>286</v>
      </c>
      <c r="AP368" s="3" t="str">
        <f>IFERROR(MID(VLOOKUP($B368,Seqs!$A:$B,2,0),AQ368,1),"")</f>
        <v>F</v>
      </c>
      <c r="AQ368" s="3">
        <v>324</v>
      </c>
      <c r="AR368" s="3" t="str">
        <f>IFERROR(MID(VLOOKUP($B368,Seqs!$A:$B,2,0),AS368,1),"")</f>
        <v>D</v>
      </c>
      <c r="AS368" s="3">
        <v>332</v>
      </c>
      <c r="AT368" s="3" t="str">
        <f>IFERROR(MID(VLOOKUP($B368,Seqs!$A:$B,2,0),AU368,1),"")</f>
        <v>L</v>
      </c>
      <c r="AU368" s="3">
        <v>361</v>
      </c>
      <c r="AV368" s="3" t="str">
        <f>IFERROR(MID(VLOOKUP($B368,Seqs!$A:$B,2,0),AW368,1),"")</f>
        <v>S</v>
      </c>
      <c r="AW368" s="3">
        <v>362</v>
      </c>
      <c r="AX368" s="3" t="str">
        <f>IFERROR(MID(VLOOKUP($B368,Seqs!$A:$B,2,0),AY368,1),"")</f>
        <v>L</v>
      </c>
      <c r="AY368" s="3">
        <v>377</v>
      </c>
      <c r="AZ368" s="77" t="str">
        <f>VLOOKUP(B368,Classification!A:D,2,0)</f>
        <v>A</v>
      </c>
      <c r="BA368" s="94" t="str">
        <f>VLOOKUP(B368,Classification!A:D,4,0)</f>
        <v>Orexin</v>
      </c>
      <c r="BB368" s="27" t="b">
        <f t="shared" ref="BB368" si="3439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 t="shared" ref="BC368" si="3440">_xlfn.AGGREGATE(9,6,CH368:CS368)-_xlfn.AGGREGATE(9,6,BV368:CG368)+12</f>
        <v>259</v>
      </c>
      <c r="BD368" s="2" t="s">
        <v>23</v>
      </c>
      <c r="BE368" s="3" t="s">
        <v>1370</v>
      </c>
      <c r="BF368" s="118">
        <v>2.66</v>
      </c>
      <c r="BG368" s="49" t="s">
        <v>1</v>
      </c>
      <c r="BH368" s="49" t="s">
        <v>1</v>
      </c>
      <c r="BI368" s="1"/>
      <c r="BJ368" s="70" t="s">
        <v>1283</v>
      </c>
      <c r="BK368" s="57" t="s">
        <v>1283</v>
      </c>
      <c r="BL368" s="57" t="s">
        <v>1283</v>
      </c>
      <c r="BM368" s="57" t="s">
        <v>1283</v>
      </c>
      <c r="BN368" s="57" t="s">
        <v>1283</v>
      </c>
      <c r="BO368" s="57" t="s">
        <v>1283</v>
      </c>
      <c r="BP368" s="57" t="s">
        <v>1283</v>
      </c>
      <c r="BQ368" s="57" t="s">
        <v>1283</v>
      </c>
      <c r="BR368" s="57" t="s">
        <v>1283</v>
      </c>
      <c r="BS368" s="57" t="s">
        <v>1283</v>
      </c>
      <c r="BT368" s="57" t="s">
        <v>1283</v>
      </c>
      <c r="BU368" s="57" t="s">
        <v>1283</v>
      </c>
      <c r="BV368" s="70">
        <f t="shared" ref="BV368" si="3441">E368</f>
        <v>45</v>
      </c>
      <c r="BW368" s="71">
        <f t="shared" ref="BW368" si="3442">I368</f>
        <v>75</v>
      </c>
      <c r="BX368" s="72">
        <f t="shared" ref="BX368" si="3443">M368</f>
        <v>79</v>
      </c>
      <c r="BY368" s="71">
        <f t="shared" ref="BY368" si="3444">Q368</f>
        <v>111</v>
      </c>
      <c r="BZ368" s="72">
        <f t="shared" ref="BZ368" si="3445">U368</f>
        <v>115</v>
      </c>
      <c r="CA368" s="71">
        <f t="shared" ref="CA368" si="3446">Y368</f>
        <v>151</v>
      </c>
      <c r="CB368" s="72">
        <f t="shared" ref="CB368" si="3447">AC368</f>
        <v>157</v>
      </c>
      <c r="CC368" s="71">
        <f t="shared" ref="CC368" si="3448">AG368</f>
        <v>202</v>
      </c>
      <c r="CD368" s="72">
        <f t="shared" ref="CD368" si="3449">AK368</f>
        <v>210</v>
      </c>
      <c r="CE368" s="71">
        <f t="shared" ref="CE368" si="3450">AO368</f>
        <v>286</v>
      </c>
      <c r="CF368" s="72">
        <f t="shared" ref="CF368" si="3451">AS368</f>
        <v>332</v>
      </c>
      <c r="CG368" s="71">
        <f t="shared" ref="CG368" si="3452">AW368</f>
        <v>362</v>
      </c>
      <c r="CH368" s="70">
        <f t="shared" ref="CH368" si="3453">G368</f>
        <v>74</v>
      </c>
      <c r="CI368" s="71">
        <f t="shared" ref="CI368" si="3454">K368</f>
        <v>78</v>
      </c>
      <c r="CJ368" s="72">
        <f t="shared" ref="CJ368" si="3455">O368</f>
        <v>110</v>
      </c>
      <c r="CK368" s="72">
        <f t="shared" ref="CK368" si="3456">S368</f>
        <v>114</v>
      </c>
      <c r="CL368" s="72">
        <f t="shared" ref="CL368" si="3457">W368</f>
        <v>150</v>
      </c>
      <c r="CM368" s="72">
        <f t="shared" ref="CM368" si="3458">AA368</f>
        <v>154</v>
      </c>
      <c r="CN368" s="72">
        <f t="shared" ref="CN368" si="3459">AE368</f>
        <v>183</v>
      </c>
      <c r="CO368" s="72">
        <f t="shared" ref="CO368" si="3460">AI368</f>
        <v>204</v>
      </c>
      <c r="CP368" s="72">
        <f t="shared" ref="CP368" si="3461">AM368</f>
        <v>243</v>
      </c>
      <c r="CQ368" s="72">
        <f t="shared" ref="CQ368" si="3462">AQ368</f>
        <v>324</v>
      </c>
      <c r="CR368" s="72">
        <f t="shared" ref="CR368" si="3463">AU368</f>
        <v>361</v>
      </c>
      <c r="CS368" s="72">
        <f t="shared" ref="CS368" si="3464">AY368</f>
        <v>377</v>
      </c>
      <c r="CT368" s="23">
        <f t="shared" ref="CT368" si="3465"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  <c r="AMP368" s="2"/>
    </row>
    <row r="369" spans="1:1030" x14ac:dyDescent="0.2">
      <c r="A369" s="3" t="str">
        <f t="shared" ref="A369" si="3466">CONCATENATE(B369,"_",C369)</f>
        <v>ox1r_human_6TQ9</v>
      </c>
      <c r="B369" s="3" t="s">
        <v>1170</v>
      </c>
      <c r="C369" s="3" t="s">
        <v>1629</v>
      </c>
      <c r="D369" s="3" t="str">
        <f>IFERROR(MID(VLOOKUP($B369,Seqs!$A:$B,2,0),E369,1),"")</f>
        <v>Y</v>
      </c>
      <c r="E369" s="3">
        <v>45</v>
      </c>
      <c r="F369" s="3" t="str">
        <f>IFERROR(MID(VLOOKUP($B369,Seqs!$A:$B,2,0),G369,1),"")</f>
        <v>N</v>
      </c>
      <c r="G369" s="3">
        <v>74</v>
      </c>
      <c r="H369" s="3" t="str">
        <f>IFERROR(MID(VLOOKUP($B369,Seqs!$A:$B,2,0),I369,1),"")</f>
        <v>H</v>
      </c>
      <c r="I369" s="23">
        <v>75</v>
      </c>
      <c r="J369" s="3" t="str">
        <f>IFERROR(MID(VLOOKUP($B369,Seqs!$A:$B,2,0),K369,1),"")</f>
        <v>R</v>
      </c>
      <c r="K369" s="23">
        <v>78</v>
      </c>
      <c r="L369" s="3" t="str">
        <f>IFERROR(MID(VLOOKUP($B369,Seqs!$A:$B,2,0),M369,1),"")</f>
        <v>T</v>
      </c>
      <c r="M369" s="3">
        <v>79</v>
      </c>
      <c r="N369" s="3" t="str">
        <f>IFERROR(MID(VLOOKUP($B369,Seqs!$A:$B,2,0),O369,1),"")</f>
        <v>E</v>
      </c>
      <c r="O369" s="3">
        <v>110</v>
      </c>
      <c r="P369" s="3" t="str">
        <f>IFERROR(MID(VLOOKUP($B369,Seqs!$A:$B,2,0),Q369,1),"")</f>
        <v>S</v>
      </c>
      <c r="Q369" s="3">
        <v>111</v>
      </c>
      <c r="R369" s="3" t="str">
        <f>IFERROR(MID(VLOOKUP($B369,Seqs!$A:$B,2,0),S369,1),"")</f>
        <v>F</v>
      </c>
      <c r="S369" s="3">
        <v>114</v>
      </c>
      <c r="T369" s="3" t="str">
        <f>IFERROR(MID(VLOOKUP($B369,Seqs!$A:$B,2,0),U369,1),"")</f>
        <v>G</v>
      </c>
      <c r="U369" s="3">
        <v>115</v>
      </c>
      <c r="V369" s="3" t="str">
        <f>IFERROR(MID(VLOOKUP($B369,Seqs!$A:$B,2,0),W369,1),"")</f>
        <v>H</v>
      </c>
      <c r="W369" s="3">
        <v>150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T</v>
      </c>
      <c r="AC369" s="3">
        <v>157</v>
      </c>
      <c r="AD369" s="3" t="str">
        <f>IFERROR(MID(VLOOKUP($B369,Seqs!$A:$B,2,0),AE369,1),"")</f>
        <v>M</v>
      </c>
      <c r="AE369" s="3">
        <v>183</v>
      </c>
      <c r="AF369" s="3" t="str">
        <f>IFERROR(MID(VLOOKUP($B369,Seqs!$A:$B,2,0),AG369,1),"")</f>
        <v>C</v>
      </c>
      <c r="AG369" s="3">
        <v>202</v>
      </c>
      <c r="AH369" s="3" t="str">
        <f>IFERROR(MID(VLOOKUP($B369,Seqs!$A:$B,2,0),AI369,1),"")</f>
        <v>E</v>
      </c>
      <c r="AI369" s="3">
        <v>204</v>
      </c>
      <c r="AJ369" s="3" t="str">
        <f>IFERROR(MID(VLOOKUP($B369,Seqs!$A:$B,2,0),AK369,1),"")</f>
        <v>L</v>
      </c>
      <c r="AK369" s="3">
        <v>210</v>
      </c>
      <c r="AL369" s="3" t="str">
        <f>IFERROR(MID(VLOOKUP($B369,Seqs!$A:$B,2,0),AM369,1),"")</f>
        <v>W</v>
      </c>
      <c r="AM369" s="3">
        <v>243</v>
      </c>
      <c r="AN369" s="3" t="str">
        <f>IFERROR(MID(VLOOKUP($B369,Seqs!$A:$B,2,0),AO369,1),"")</f>
        <v>E</v>
      </c>
      <c r="AO369" s="3">
        <v>286</v>
      </c>
      <c r="AP369" s="3" t="str">
        <f>IFERROR(MID(VLOOKUP($B369,Seqs!$A:$B,2,0),AQ369,1),"")</f>
        <v>F</v>
      </c>
      <c r="AQ369" s="3">
        <v>324</v>
      </c>
      <c r="AR369" s="3" t="str">
        <f>IFERROR(MID(VLOOKUP($B369,Seqs!$A:$B,2,0),AS369,1),"")</f>
        <v>D</v>
      </c>
      <c r="AS369" s="3">
        <v>332</v>
      </c>
      <c r="AT369" s="3" t="str">
        <f>IFERROR(MID(VLOOKUP($B369,Seqs!$A:$B,2,0),AU369,1),"")</f>
        <v>L</v>
      </c>
      <c r="AU369" s="3">
        <v>361</v>
      </c>
      <c r="AV369" s="3" t="str">
        <f>IFERROR(MID(VLOOKUP($B369,Seqs!$A:$B,2,0),AW369,1),"")</f>
        <v>S</v>
      </c>
      <c r="AW369" s="3">
        <v>362</v>
      </c>
      <c r="AX369" s="3" t="str">
        <f>IFERROR(MID(VLOOKUP($B369,Seqs!$A:$B,2,0),AY369,1),"")</f>
        <v>L</v>
      </c>
      <c r="AY369" s="3">
        <v>377</v>
      </c>
      <c r="AZ369" s="77" t="str">
        <f>VLOOKUP(B369,Classification!A:D,2,0)</f>
        <v>A</v>
      </c>
      <c r="BA369" s="94" t="str">
        <f>VLOOKUP(B369,Classification!A:D,4,0)</f>
        <v>Orexin</v>
      </c>
      <c r="BB369" s="27" t="b">
        <f t="shared" ref="BB369" si="3467"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 t="shared" ref="BC369" si="3468">_xlfn.AGGREGATE(9,6,CH369:CS369)-_xlfn.AGGREGATE(9,6,BV369:CG369)+12</f>
        <v>256</v>
      </c>
      <c r="BD369" s="2" t="s">
        <v>23</v>
      </c>
      <c r="BE369" s="3" t="s">
        <v>1370</v>
      </c>
      <c r="BF369" s="118">
        <v>2.66</v>
      </c>
      <c r="BG369" s="49" t="s">
        <v>1277</v>
      </c>
      <c r="BH369" s="49" t="s">
        <v>1277</v>
      </c>
      <c r="BI369" s="1"/>
      <c r="BJ369" s="70" t="s">
        <v>1283</v>
      </c>
      <c r="BK369" s="57" t="s">
        <v>1283</v>
      </c>
      <c r="BL369" s="57" t="s">
        <v>1283</v>
      </c>
      <c r="BM369" s="57" t="s">
        <v>1283</v>
      </c>
      <c r="BN369" s="57" t="s">
        <v>1283</v>
      </c>
      <c r="BO369" s="57" t="s">
        <v>1283</v>
      </c>
      <c r="BP369" s="57" t="s">
        <v>1283</v>
      </c>
      <c r="BQ369" s="57" t="s">
        <v>1283</v>
      </c>
      <c r="BR369" s="57" t="s">
        <v>1283</v>
      </c>
      <c r="BS369" s="57" t="s">
        <v>1283</v>
      </c>
      <c r="BT369" s="57" t="s">
        <v>1283</v>
      </c>
      <c r="BU369" s="57" t="s">
        <v>1283</v>
      </c>
      <c r="BV369" s="70">
        <f t="shared" ref="BV369" si="3469">E369</f>
        <v>45</v>
      </c>
      <c r="BW369" s="71">
        <f t="shared" ref="BW369" si="3470">I369</f>
        <v>75</v>
      </c>
      <c r="BX369" s="72">
        <f t="shared" ref="BX369" si="3471">M369</f>
        <v>79</v>
      </c>
      <c r="BY369" s="71">
        <f t="shared" ref="BY369" si="3472">Q369</f>
        <v>111</v>
      </c>
      <c r="BZ369" s="72">
        <f t="shared" ref="BZ369" si="3473">U369</f>
        <v>115</v>
      </c>
      <c r="CA369" s="71" t="str">
        <f t="shared" ref="CA369" si="3474">Y369</f>
        <v>-</v>
      </c>
      <c r="CB369" s="72">
        <f t="shared" ref="CB369" si="3475">AC369</f>
        <v>157</v>
      </c>
      <c r="CC369" s="71">
        <f t="shared" ref="CC369" si="3476">AG369</f>
        <v>202</v>
      </c>
      <c r="CD369" s="72">
        <f t="shared" ref="CD369" si="3477">AK369</f>
        <v>210</v>
      </c>
      <c r="CE369" s="71">
        <f t="shared" ref="CE369" si="3478">AO369</f>
        <v>286</v>
      </c>
      <c r="CF369" s="72">
        <f t="shared" ref="CF369" si="3479">AS369</f>
        <v>332</v>
      </c>
      <c r="CG369" s="71">
        <f t="shared" ref="CG369" si="3480">AW369</f>
        <v>362</v>
      </c>
      <c r="CH369" s="70">
        <f t="shared" ref="CH369" si="3481">G369</f>
        <v>74</v>
      </c>
      <c r="CI369" s="71">
        <f t="shared" ref="CI369" si="3482">K369</f>
        <v>78</v>
      </c>
      <c r="CJ369" s="72">
        <f t="shared" ref="CJ369" si="3483">O369</f>
        <v>110</v>
      </c>
      <c r="CK369" s="72">
        <f t="shared" ref="CK369" si="3484">S369</f>
        <v>114</v>
      </c>
      <c r="CL369" s="72">
        <f t="shared" ref="CL369" si="3485">W369</f>
        <v>150</v>
      </c>
      <c r="CM369" s="72" t="str">
        <f t="shared" ref="CM369" si="3486">AA369</f>
        <v>-</v>
      </c>
      <c r="CN369" s="72">
        <f t="shared" ref="CN369" si="3487">AE369</f>
        <v>183</v>
      </c>
      <c r="CO369" s="72">
        <f t="shared" ref="CO369" si="3488">AI369</f>
        <v>204</v>
      </c>
      <c r="CP369" s="72">
        <f t="shared" ref="CP369" si="3489">AM369</f>
        <v>243</v>
      </c>
      <c r="CQ369" s="72">
        <f t="shared" ref="CQ369" si="3490">AQ369</f>
        <v>324</v>
      </c>
      <c r="CR369" s="72">
        <f t="shared" ref="CR369" si="3491">AU369</f>
        <v>361</v>
      </c>
      <c r="CS369" s="72">
        <f t="shared" ref="CS369" si="3492">AY369</f>
        <v>377</v>
      </c>
      <c r="CT369" s="23">
        <f t="shared" ref="CT369" si="3493">M369-K369</f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  <c r="AMP369" s="2"/>
    </row>
    <row r="370" spans="1:1030" x14ac:dyDescent="0.2">
      <c r="A370" s="3" t="str">
        <f t="shared" ref="A370" si="3494">CONCATENATE(B370,"_",C370)</f>
        <v>ox1r_human_6TOS</v>
      </c>
      <c r="B370" s="3" t="s">
        <v>1170</v>
      </c>
      <c r="C370" s="3" t="s">
        <v>1631</v>
      </c>
      <c r="D370" s="3" t="str">
        <f>IFERROR(MID(VLOOKUP($B370,Seqs!$A:$B,2,0),E370,1),"")</f>
        <v>Y</v>
      </c>
      <c r="E370" s="3">
        <v>45</v>
      </c>
      <c r="F370" s="3" t="str">
        <f>IFERROR(MID(VLOOKUP($B370,Seqs!$A:$B,2,0),G370,1),"")</f>
        <v>N</v>
      </c>
      <c r="G370" s="3">
        <v>74</v>
      </c>
      <c r="H370" s="3" t="str">
        <f>IFERROR(MID(VLOOKUP($B370,Seqs!$A:$B,2,0),I370,1),"")</f>
        <v>H</v>
      </c>
      <c r="I370" s="23">
        <v>75</v>
      </c>
      <c r="J370" s="3" t="str">
        <f>IFERROR(MID(VLOOKUP($B370,Seqs!$A:$B,2,0),K370,1),"")</f>
        <v>R</v>
      </c>
      <c r="K370" s="23">
        <v>78</v>
      </c>
      <c r="L370" s="3" t="str">
        <f>IFERROR(MID(VLOOKUP($B370,Seqs!$A:$B,2,0),M370,1),"")</f>
        <v>T</v>
      </c>
      <c r="M370" s="3">
        <v>79</v>
      </c>
      <c r="N370" s="3" t="str">
        <f>IFERROR(MID(VLOOKUP($B370,Seqs!$A:$B,2,0),O370,1),"")</f>
        <v>E</v>
      </c>
      <c r="O370" s="3">
        <v>110</v>
      </c>
      <c r="P370" s="3" t="str">
        <f>IFERROR(MID(VLOOKUP($B370,Seqs!$A:$B,2,0),Q370,1),"")</f>
        <v>S</v>
      </c>
      <c r="Q370" s="3">
        <v>111</v>
      </c>
      <c r="R370" s="3" t="str">
        <f>IFERROR(MID(VLOOKUP($B370,Seqs!$A:$B,2,0),S370,1),"")</f>
        <v>F</v>
      </c>
      <c r="S370" s="3">
        <v>114</v>
      </c>
      <c r="T370" s="3" t="str">
        <f>IFERROR(MID(VLOOKUP($B370,Seqs!$A:$B,2,0),U370,1),"")</f>
        <v>G</v>
      </c>
      <c r="U370" s="3">
        <v>115</v>
      </c>
      <c r="V370" s="3" t="str">
        <f>IFERROR(MID(VLOOKUP($B370,Seqs!$A:$B,2,0),W370,1),"")</f>
        <v>H</v>
      </c>
      <c r="W370" s="3">
        <v>150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T</v>
      </c>
      <c r="AC370" s="3">
        <v>157</v>
      </c>
      <c r="AD370" s="3" t="str">
        <f>IFERROR(MID(VLOOKUP($B370,Seqs!$A:$B,2,0),AE370,1),"")</f>
        <v>M</v>
      </c>
      <c r="AE370" s="3">
        <v>183</v>
      </c>
      <c r="AF370" s="3" t="str">
        <f>IFERROR(MID(VLOOKUP($B370,Seqs!$A:$B,2,0),AG370,1),"")</f>
        <v>C</v>
      </c>
      <c r="AG370" s="3">
        <v>202</v>
      </c>
      <c r="AH370" s="3" t="str">
        <f>IFERROR(MID(VLOOKUP($B370,Seqs!$A:$B,2,0),AI370,1),"")</f>
        <v>E</v>
      </c>
      <c r="AI370" s="3">
        <v>204</v>
      </c>
      <c r="AJ370" s="3" t="str">
        <f>IFERROR(MID(VLOOKUP($B370,Seqs!$A:$B,2,0),AK370,1),"")</f>
        <v>L</v>
      </c>
      <c r="AK370" s="3">
        <v>210</v>
      </c>
      <c r="AL370" s="3" t="str">
        <f>IFERROR(MID(VLOOKUP($B370,Seqs!$A:$B,2,0),AM370,1),"")</f>
        <v>W</v>
      </c>
      <c r="AM370" s="3">
        <v>243</v>
      </c>
      <c r="AN370" s="3" t="str">
        <f>IFERROR(MID(VLOOKUP($B370,Seqs!$A:$B,2,0),AO370,1),"")</f>
        <v>E</v>
      </c>
      <c r="AO370" s="3">
        <v>286</v>
      </c>
      <c r="AP370" s="3" t="str">
        <f>IFERROR(MID(VLOOKUP($B370,Seqs!$A:$B,2,0),AQ370,1),"")</f>
        <v>G</v>
      </c>
      <c r="AQ370" s="3">
        <v>325</v>
      </c>
      <c r="AR370" s="3" t="str">
        <f>IFERROR(MID(VLOOKUP($B370,Seqs!$A:$B,2,0),AS370,1),"")</f>
        <v>D</v>
      </c>
      <c r="AS370" s="3">
        <v>332</v>
      </c>
      <c r="AT370" s="3" t="str">
        <f>IFERROR(MID(VLOOKUP($B370,Seqs!$A:$B,2,0),AU370,1),"")</f>
        <v>L</v>
      </c>
      <c r="AU370" s="3">
        <v>361</v>
      </c>
      <c r="AV370" s="3" t="str">
        <f>IFERROR(MID(VLOOKUP($B370,Seqs!$A:$B,2,0),AW370,1),"")</f>
        <v>S</v>
      </c>
      <c r="AW370" s="3">
        <v>362</v>
      </c>
      <c r="AX370" s="3" t="str">
        <f>IFERROR(MID(VLOOKUP($B370,Seqs!$A:$B,2,0),AY370,1),"")</f>
        <v>L</v>
      </c>
      <c r="AY370" s="3">
        <v>377</v>
      </c>
      <c r="AZ370" s="77" t="str">
        <f>VLOOKUP(B370,Classification!A:D,2,0)</f>
        <v>A</v>
      </c>
      <c r="BA370" s="94" t="str">
        <f>VLOOKUP(B370,Classification!A:D,4,0)</f>
        <v>Orexin</v>
      </c>
      <c r="BB370" s="27" t="b">
        <f t="shared" ref="BB370" si="3495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 t="shared" ref="BC370" si="3496">_xlfn.AGGREGATE(9,6,CH370:CS370)-_xlfn.AGGREGATE(9,6,BV370:CG370)+12</f>
        <v>257</v>
      </c>
      <c r="BD370" s="2" t="s">
        <v>23</v>
      </c>
      <c r="BE370" s="3" t="s">
        <v>1370</v>
      </c>
      <c r="BF370" s="118">
        <v>2.13</v>
      </c>
      <c r="BG370" s="49" t="s">
        <v>1277</v>
      </c>
      <c r="BH370" s="49" t="s">
        <v>1277</v>
      </c>
      <c r="BI370" s="1"/>
      <c r="BJ370" s="70" t="s">
        <v>1283</v>
      </c>
      <c r="BK370" s="57" t="s">
        <v>1283</v>
      </c>
      <c r="BL370" s="57" t="s">
        <v>1283</v>
      </c>
      <c r="BM370" s="57" t="s">
        <v>1283</v>
      </c>
      <c r="BN370" s="57" t="s">
        <v>1283</v>
      </c>
      <c r="BO370" s="57" t="s">
        <v>1283</v>
      </c>
      <c r="BP370" s="57" t="s">
        <v>1283</v>
      </c>
      <c r="BQ370" s="57" t="s">
        <v>1283</v>
      </c>
      <c r="BR370" s="57" t="s">
        <v>1283</v>
      </c>
      <c r="BS370" s="57" t="s">
        <v>1283</v>
      </c>
      <c r="BT370" s="57" t="s">
        <v>1283</v>
      </c>
      <c r="BU370" s="57" t="s">
        <v>1283</v>
      </c>
      <c r="BV370" s="70">
        <f t="shared" ref="BV370" si="3497">E370</f>
        <v>45</v>
      </c>
      <c r="BW370" s="71">
        <f t="shared" ref="BW370" si="3498">I370</f>
        <v>75</v>
      </c>
      <c r="BX370" s="72">
        <f t="shared" ref="BX370" si="3499">M370</f>
        <v>79</v>
      </c>
      <c r="BY370" s="71">
        <f t="shared" ref="BY370" si="3500">Q370</f>
        <v>111</v>
      </c>
      <c r="BZ370" s="72">
        <f t="shared" ref="BZ370" si="3501">U370</f>
        <v>115</v>
      </c>
      <c r="CA370" s="71" t="str">
        <f t="shared" ref="CA370" si="3502">Y370</f>
        <v>-</v>
      </c>
      <c r="CB370" s="72">
        <f t="shared" ref="CB370" si="3503">AC370</f>
        <v>157</v>
      </c>
      <c r="CC370" s="71">
        <f t="shared" ref="CC370" si="3504">AG370</f>
        <v>202</v>
      </c>
      <c r="CD370" s="72">
        <f t="shared" ref="CD370" si="3505">AK370</f>
        <v>210</v>
      </c>
      <c r="CE370" s="71">
        <f t="shared" ref="CE370" si="3506">AO370</f>
        <v>286</v>
      </c>
      <c r="CF370" s="72">
        <f t="shared" ref="CF370" si="3507">AS370</f>
        <v>332</v>
      </c>
      <c r="CG370" s="71">
        <f t="shared" ref="CG370" si="3508">AW370</f>
        <v>362</v>
      </c>
      <c r="CH370" s="70">
        <f t="shared" ref="CH370" si="3509">G370</f>
        <v>74</v>
      </c>
      <c r="CI370" s="71">
        <f t="shared" ref="CI370" si="3510">K370</f>
        <v>78</v>
      </c>
      <c r="CJ370" s="72">
        <f t="shared" ref="CJ370" si="3511">O370</f>
        <v>110</v>
      </c>
      <c r="CK370" s="72">
        <f t="shared" ref="CK370" si="3512">S370</f>
        <v>114</v>
      </c>
      <c r="CL370" s="72">
        <f t="shared" ref="CL370" si="3513">W370</f>
        <v>150</v>
      </c>
      <c r="CM370" s="72" t="str">
        <f t="shared" ref="CM370" si="3514">AA370</f>
        <v>-</v>
      </c>
      <c r="CN370" s="72">
        <f t="shared" ref="CN370" si="3515">AE370</f>
        <v>183</v>
      </c>
      <c r="CO370" s="72">
        <f t="shared" ref="CO370" si="3516">AI370</f>
        <v>204</v>
      </c>
      <c r="CP370" s="72">
        <f t="shared" ref="CP370" si="3517">AM370</f>
        <v>243</v>
      </c>
      <c r="CQ370" s="72">
        <f t="shared" ref="CQ370" si="3518">AQ370</f>
        <v>325</v>
      </c>
      <c r="CR370" s="72">
        <f t="shared" ref="CR370" si="3519">AU370</f>
        <v>361</v>
      </c>
      <c r="CS370" s="72">
        <f t="shared" ref="CS370" si="3520">AY370</f>
        <v>377</v>
      </c>
      <c r="CT370" s="23">
        <f t="shared" ref="CT370" si="3521">M370-K370</f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2"/>
    </row>
    <row r="371" spans="1:1030" x14ac:dyDescent="0.2">
      <c r="A371" s="3" t="str">
        <f t="shared" ref="A371" si="3522">CONCATENATE(B371,"_",C371)</f>
        <v>ox1r_human_6TOT</v>
      </c>
      <c r="B371" s="3" t="s">
        <v>1170</v>
      </c>
      <c r="C371" s="3" t="s">
        <v>1632</v>
      </c>
      <c r="D371" s="3" t="str">
        <f>IFERROR(MID(VLOOKUP($B371,Seqs!$A:$B,2,0),E371,1),"")</f>
        <v>Y</v>
      </c>
      <c r="E371" s="3">
        <v>45</v>
      </c>
      <c r="F371" s="3" t="str">
        <f>IFERROR(MID(VLOOKUP($B371,Seqs!$A:$B,2,0),G371,1),"")</f>
        <v>N</v>
      </c>
      <c r="G371" s="3">
        <v>74</v>
      </c>
      <c r="H371" s="3" t="str">
        <f>IFERROR(MID(VLOOKUP($B371,Seqs!$A:$B,2,0),I371,1),"")</f>
        <v>H</v>
      </c>
      <c r="I371" s="23">
        <v>75</v>
      </c>
      <c r="J371" s="3" t="str">
        <f>IFERROR(MID(VLOOKUP($B371,Seqs!$A:$B,2,0),K371,1),"")</f>
        <v>R</v>
      </c>
      <c r="K371" s="23">
        <v>78</v>
      </c>
      <c r="L371" s="3" t="str">
        <f>IFERROR(MID(VLOOKUP($B371,Seqs!$A:$B,2,0),M371,1),"")</f>
        <v>T</v>
      </c>
      <c r="M371" s="3">
        <v>79</v>
      </c>
      <c r="N371" s="3" t="str">
        <f>IFERROR(MID(VLOOKUP($B371,Seqs!$A:$B,2,0),O371,1),"")</f>
        <v>E</v>
      </c>
      <c r="O371" s="3">
        <v>110</v>
      </c>
      <c r="P371" s="3" t="str">
        <f>IFERROR(MID(VLOOKUP($B371,Seqs!$A:$B,2,0),Q371,1),"")</f>
        <v>S</v>
      </c>
      <c r="Q371" s="3">
        <v>111</v>
      </c>
      <c r="R371" s="3" t="str">
        <f>IFERROR(MID(VLOOKUP($B371,Seqs!$A:$B,2,0),S371,1),"")</f>
        <v>F</v>
      </c>
      <c r="S371" s="3">
        <v>114</v>
      </c>
      <c r="T371" s="3" t="str">
        <f>IFERROR(MID(VLOOKUP($B371,Seqs!$A:$B,2,0),U371,1),"")</f>
        <v>G</v>
      </c>
      <c r="U371" s="3">
        <v>115</v>
      </c>
      <c r="V371" s="3" t="str">
        <f>IFERROR(MID(VLOOKUP($B371,Seqs!$A:$B,2,0),W371,1),"")</f>
        <v>C</v>
      </c>
      <c r="W371" s="3">
        <v>149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T</v>
      </c>
      <c r="AC371" s="3">
        <v>157</v>
      </c>
      <c r="AD371" s="3" t="str">
        <f>IFERROR(MID(VLOOKUP($B371,Seqs!$A:$B,2,0),AE371,1),"")</f>
        <v>M</v>
      </c>
      <c r="AE371" s="3">
        <v>183</v>
      </c>
      <c r="AF371" s="3" t="str">
        <f>IFERROR(MID(VLOOKUP($B371,Seqs!$A:$B,2,0),AG371,1),"")</f>
        <v>C</v>
      </c>
      <c r="AG371" s="3">
        <v>202</v>
      </c>
      <c r="AH371" s="3" t="str">
        <f>IFERROR(MID(VLOOKUP($B371,Seqs!$A:$B,2,0),AI371,1),"")</f>
        <v>E</v>
      </c>
      <c r="AI371" s="3">
        <v>204</v>
      </c>
      <c r="AJ371" s="3" t="str">
        <f>IFERROR(MID(VLOOKUP($B371,Seqs!$A:$B,2,0),AK371,1),"")</f>
        <v>L</v>
      </c>
      <c r="AK371" s="3">
        <v>210</v>
      </c>
      <c r="AL371" s="3" t="str">
        <f>IFERROR(MID(VLOOKUP($B371,Seqs!$A:$B,2,0),AM371,1),"")</f>
        <v>W</v>
      </c>
      <c r="AM371" s="3">
        <v>243</v>
      </c>
      <c r="AN371" s="3" t="str">
        <f>IFERROR(MID(VLOOKUP($B371,Seqs!$A:$B,2,0),AO371,1),"")</f>
        <v>E</v>
      </c>
      <c r="AO371" s="3">
        <v>286</v>
      </c>
      <c r="AP371" s="3" t="str">
        <f>IFERROR(MID(VLOOKUP($B371,Seqs!$A:$B,2,0),AQ371,1),"")</f>
        <v>V</v>
      </c>
      <c r="AQ371" s="3">
        <v>323</v>
      </c>
      <c r="AR371" s="3" t="str">
        <f>IFERROR(MID(VLOOKUP($B371,Seqs!$A:$B,2,0),AS371,1),"")</f>
        <v>D</v>
      </c>
      <c r="AS371" s="3">
        <v>332</v>
      </c>
      <c r="AT371" s="3" t="str">
        <f>IFERROR(MID(VLOOKUP($B371,Seqs!$A:$B,2,0),AU371,1),"")</f>
        <v>L</v>
      </c>
      <c r="AU371" s="3">
        <v>361</v>
      </c>
      <c r="AV371" s="3" t="str">
        <f>IFERROR(MID(VLOOKUP($B371,Seqs!$A:$B,2,0),AW371,1),"")</f>
        <v>S</v>
      </c>
      <c r="AW371" s="3">
        <v>362</v>
      </c>
      <c r="AX371" s="3" t="str">
        <f>IFERROR(MID(VLOOKUP($B371,Seqs!$A:$B,2,0),AY371,1),"")</f>
        <v>L</v>
      </c>
      <c r="AY371" s="3">
        <v>377</v>
      </c>
      <c r="AZ371" s="77" t="str">
        <f>VLOOKUP(B371,Classification!A:D,2,0)</f>
        <v>A</v>
      </c>
      <c r="BA371" s="94" t="str">
        <f>VLOOKUP(B371,Classification!A:D,4,0)</f>
        <v>Orexin</v>
      </c>
      <c r="BB371" s="27" t="b">
        <f t="shared" ref="BB371" si="3523"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 t="shared" ref="BC371" si="3524">_xlfn.AGGREGATE(9,6,CH371:CS371)-_xlfn.AGGREGATE(9,6,BV371:CG371)+12</f>
        <v>254</v>
      </c>
      <c r="BD371" s="2" t="s">
        <v>23</v>
      </c>
      <c r="BE371" s="3" t="s">
        <v>1370</v>
      </c>
      <c r="BF371" s="118">
        <v>2.2200000000000002</v>
      </c>
      <c r="BG371" s="49" t="s">
        <v>1277</v>
      </c>
      <c r="BH371" s="49" t="s">
        <v>1277</v>
      </c>
      <c r="BI371" s="1"/>
      <c r="BJ371" s="70" t="s">
        <v>1283</v>
      </c>
      <c r="BK371" s="57" t="s">
        <v>1283</v>
      </c>
      <c r="BL371" s="57" t="s">
        <v>1283</v>
      </c>
      <c r="BM371" s="57" t="s">
        <v>1283</v>
      </c>
      <c r="BN371" s="57" t="s">
        <v>1283</v>
      </c>
      <c r="BO371" s="57" t="s">
        <v>1283</v>
      </c>
      <c r="BP371" s="57" t="s">
        <v>1283</v>
      </c>
      <c r="BQ371" s="57" t="s">
        <v>1283</v>
      </c>
      <c r="BR371" s="57" t="s">
        <v>1283</v>
      </c>
      <c r="BS371" s="57" t="s">
        <v>1283</v>
      </c>
      <c r="BT371" s="57" t="s">
        <v>1283</v>
      </c>
      <c r="BU371" s="57" t="s">
        <v>1283</v>
      </c>
      <c r="BV371" s="70">
        <f t="shared" ref="BV371" si="3525">E371</f>
        <v>45</v>
      </c>
      <c r="BW371" s="71">
        <f t="shared" ref="BW371" si="3526">I371</f>
        <v>75</v>
      </c>
      <c r="BX371" s="72">
        <f t="shared" ref="BX371" si="3527">M371</f>
        <v>79</v>
      </c>
      <c r="BY371" s="71">
        <f t="shared" ref="BY371" si="3528">Q371</f>
        <v>111</v>
      </c>
      <c r="BZ371" s="72">
        <f t="shared" ref="BZ371" si="3529">U371</f>
        <v>115</v>
      </c>
      <c r="CA371" s="71" t="str">
        <f t="shared" ref="CA371" si="3530">Y371</f>
        <v>-</v>
      </c>
      <c r="CB371" s="72">
        <f t="shared" ref="CB371" si="3531">AC371</f>
        <v>157</v>
      </c>
      <c r="CC371" s="71">
        <f t="shared" ref="CC371" si="3532">AG371</f>
        <v>202</v>
      </c>
      <c r="CD371" s="72">
        <f t="shared" ref="CD371" si="3533">AK371</f>
        <v>210</v>
      </c>
      <c r="CE371" s="71">
        <f t="shared" ref="CE371" si="3534">AO371</f>
        <v>286</v>
      </c>
      <c r="CF371" s="72">
        <f t="shared" ref="CF371" si="3535">AS371</f>
        <v>332</v>
      </c>
      <c r="CG371" s="71">
        <f t="shared" ref="CG371" si="3536">AW371</f>
        <v>362</v>
      </c>
      <c r="CH371" s="70">
        <f t="shared" ref="CH371" si="3537">G371</f>
        <v>74</v>
      </c>
      <c r="CI371" s="71">
        <f t="shared" ref="CI371" si="3538">K371</f>
        <v>78</v>
      </c>
      <c r="CJ371" s="72">
        <f t="shared" ref="CJ371" si="3539">O371</f>
        <v>110</v>
      </c>
      <c r="CK371" s="72">
        <f t="shared" ref="CK371" si="3540">S371</f>
        <v>114</v>
      </c>
      <c r="CL371" s="72">
        <f t="shared" ref="CL371" si="3541">W371</f>
        <v>149</v>
      </c>
      <c r="CM371" s="72" t="str">
        <f t="shared" ref="CM371" si="3542">AA371</f>
        <v>-</v>
      </c>
      <c r="CN371" s="72">
        <f t="shared" ref="CN371" si="3543">AE371</f>
        <v>183</v>
      </c>
      <c r="CO371" s="72">
        <f t="shared" ref="CO371" si="3544">AI371</f>
        <v>204</v>
      </c>
      <c r="CP371" s="72">
        <f t="shared" ref="CP371" si="3545">AM371</f>
        <v>243</v>
      </c>
      <c r="CQ371" s="72">
        <f t="shared" ref="CQ371" si="3546">AQ371</f>
        <v>323</v>
      </c>
      <c r="CR371" s="72">
        <f t="shared" ref="CR371" si="3547">AU371</f>
        <v>361</v>
      </c>
      <c r="CS371" s="72">
        <f t="shared" ref="CS371" si="3548">AY371</f>
        <v>377</v>
      </c>
      <c r="CT371" s="23">
        <f t="shared" ref="CT371" si="3549">M371-K371</f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  <c r="AMP371" s="2"/>
    </row>
    <row r="372" spans="1:1030" s="12" customFormat="1" x14ac:dyDescent="0.2">
      <c r="A372" s="9" t="str">
        <f t="shared" ref="A372" si="3550">CONCATENATE(B372,"_",C372)</f>
        <v>ox1r_human_6V9S</v>
      </c>
      <c r="B372" s="9" t="s">
        <v>1170</v>
      </c>
      <c r="C372" s="9" t="s">
        <v>1684</v>
      </c>
      <c r="D372" s="9" t="str">
        <f>IFERROR(MID(VLOOKUP($B372,Seqs!$A:$B,2,0),E372,1),"")</f>
        <v>Y</v>
      </c>
      <c r="E372" s="9">
        <v>45</v>
      </c>
      <c r="F372" s="9" t="str">
        <f>IFERROR(MID(VLOOKUP($B372,Seqs!$A:$B,2,0),G372,1),"")</f>
        <v>N</v>
      </c>
      <c r="G372" s="9">
        <v>74</v>
      </c>
      <c r="H372" s="9" t="str">
        <f>IFERROR(MID(VLOOKUP($B372,Seqs!$A:$B,2,0),I372,1),"")</f>
        <v>H</v>
      </c>
      <c r="I372" s="109">
        <v>75</v>
      </c>
      <c r="J372" s="9" t="str">
        <f>IFERROR(MID(VLOOKUP($B372,Seqs!$A:$B,2,0),K372,1),"")</f>
        <v>R</v>
      </c>
      <c r="K372" s="109">
        <v>78</v>
      </c>
      <c r="L372" s="9" t="str">
        <f>IFERROR(MID(VLOOKUP($B372,Seqs!$A:$B,2,0),M372,1),"")</f>
        <v>T</v>
      </c>
      <c r="M372" s="9">
        <v>79</v>
      </c>
      <c r="N372" s="9" t="str">
        <f>IFERROR(MID(VLOOKUP($B372,Seqs!$A:$B,2,0),O372,1),"")</f>
        <v>E</v>
      </c>
      <c r="O372" s="9">
        <v>110</v>
      </c>
      <c r="P372" s="9" t="str">
        <f>IFERROR(MID(VLOOKUP($B372,Seqs!$A:$B,2,0),Q372,1),"")</f>
        <v>S</v>
      </c>
      <c r="Q372" s="9">
        <v>111</v>
      </c>
      <c r="R372" s="9" t="str">
        <f>IFERROR(MID(VLOOKUP($B372,Seqs!$A:$B,2,0),S372,1),"")</f>
        <v>F</v>
      </c>
      <c r="S372" s="9">
        <v>114</v>
      </c>
      <c r="T372" s="9" t="str">
        <f>IFERROR(MID(VLOOKUP($B372,Seqs!$A:$B,2,0),U372,1),"")</f>
        <v>G</v>
      </c>
      <c r="U372" s="9">
        <v>115</v>
      </c>
      <c r="V372" s="9" t="str">
        <f>IFERROR(MID(VLOOKUP($B372,Seqs!$A:$B,2,0),W372,1),"")</f>
        <v>H</v>
      </c>
      <c r="W372" s="9">
        <v>150</v>
      </c>
      <c r="X372" s="9" t="str">
        <f>IFERROR(MID(VLOOKUP($B372,Seqs!$A:$B,2,0),Y372,1),"")</f>
        <v/>
      </c>
      <c r="Y372" s="9" t="s">
        <v>23</v>
      </c>
      <c r="Z372" s="9" t="str">
        <f>IFERROR(MID(VLOOKUP($B372,Seqs!$A:$B,2,0),AA372,1),"")</f>
        <v/>
      </c>
      <c r="AA372" s="9" t="s">
        <v>23</v>
      </c>
      <c r="AB372" s="9" t="str">
        <f>IFERROR(MID(VLOOKUP($B372,Seqs!$A:$B,2,0),AC372,1),"")</f>
        <v>T</v>
      </c>
      <c r="AC372" s="9">
        <v>157</v>
      </c>
      <c r="AD372" s="9" t="str">
        <f>IFERROR(MID(VLOOKUP($B372,Seqs!$A:$B,2,0),AE372,1),"")</f>
        <v>M</v>
      </c>
      <c r="AE372" s="9">
        <v>183</v>
      </c>
      <c r="AF372" s="9" t="str">
        <f>IFERROR(MID(VLOOKUP($B372,Seqs!$A:$B,2,0),AG372,1),"")</f>
        <v>C</v>
      </c>
      <c r="AG372" s="9">
        <v>202</v>
      </c>
      <c r="AH372" s="9" t="str">
        <f>IFERROR(MID(VLOOKUP($B372,Seqs!$A:$B,2,0),AI372,1),"")</f>
        <v>E</v>
      </c>
      <c r="AI372" s="9">
        <v>204</v>
      </c>
      <c r="AJ372" s="9" t="str">
        <f>IFERROR(MID(VLOOKUP($B372,Seqs!$A:$B,2,0),AK372,1),"")</f>
        <v>L</v>
      </c>
      <c r="AK372" s="9">
        <v>210</v>
      </c>
      <c r="AL372" s="9" t="str">
        <f>IFERROR(MID(VLOOKUP($B372,Seqs!$A:$B,2,0),AM372,1),"")</f>
        <v>L</v>
      </c>
      <c r="AM372" s="9">
        <v>242</v>
      </c>
      <c r="AN372" s="9" t="str">
        <f>IFERROR(MID(VLOOKUP($B372,Seqs!$A:$B,2,0),AO372,1),"")</f>
        <v>K</v>
      </c>
      <c r="AO372" s="9">
        <v>288</v>
      </c>
      <c r="AP372" s="9" t="str">
        <f>IFERROR(MID(VLOOKUP($B372,Seqs!$A:$B,2,0),AQ372,1),"")</f>
        <v>V</v>
      </c>
      <c r="AQ372" s="9">
        <v>323</v>
      </c>
      <c r="AR372" s="9" t="str">
        <f>IFERROR(MID(VLOOKUP($B372,Seqs!$A:$B,2,0),AS372,1),"")</f>
        <v>R</v>
      </c>
      <c r="AS372" s="9">
        <v>333</v>
      </c>
      <c r="AT372" s="9" t="str">
        <f>IFERROR(MID(VLOOKUP($B372,Seqs!$A:$B,2,0),AU372,1),"")</f>
        <v>L</v>
      </c>
      <c r="AU372" s="9">
        <v>361</v>
      </c>
      <c r="AV372" s="9" t="str">
        <f>IFERROR(MID(VLOOKUP($B372,Seqs!$A:$B,2,0),AW372,1),"")</f>
        <v>S</v>
      </c>
      <c r="AW372" s="9">
        <v>362</v>
      </c>
      <c r="AX372" s="9" t="str">
        <f>IFERROR(MID(VLOOKUP($B372,Seqs!$A:$B,2,0),AY372,1),"")</f>
        <v>F</v>
      </c>
      <c r="AY372" s="9">
        <v>373</v>
      </c>
      <c r="AZ372" s="110" t="str">
        <f>VLOOKUP(B372,Classification!A:D,2,0)</f>
        <v>A</v>
      </c>
      <c r="BA372" s="98" t="str">
        <f>VLOOKUP(B372,Classification!A:D,4,0)</f>
        <v>Orexin</v>
      </c>
      <c r="BB372" s="36" t="b">
        <f t="shared" ref="BB372" si="3551"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109">
        <f t="shared" ref="BC372" si="3552">_xlfn.AGGREGATE(9,6,CH372:CS372)-_xlfn.AGGREGATE(9,6,BV372:CG372)+12</f>
        <v>247</v>
      </c>
      <c r="BD372" s="40" t="s">
        <v>23</v>
      </c>
      <c r="BE372" s="9" t="s">
        <v>1370</v>
      </c>
      <c r="BF372" s="119">
        <v>3.5</v>
      </c>
      <c r="BG372" s="51" t="s">
        <v>1</v>
      </c>
      <c r="BH372" s="51" t="s">
        <v>1</v>
      </c>
      <c r="BJ372" s="111" t="s">
        <v>1283</v>
      </c>
      <c r="BK372" s="112" t="s">
        <v>1283</v>
      </c>
      <c r="BL372" s="112" t="s">
        <v>1283</v>
      </c>
      <c r="BM372" s="112" t="s">
        <v>1283</v>
      </c>
      <c r="BN372" s="112" t="s">
        <v>1283</v>
      </c>
      <c r="BO372" s="112" t="s">
        <v>1283</v>
      </c>
      <c r="BP372" s="112" t="s">
        <v>1283</v>
      </c>
      <c r="BQ372" s="112" t="s">
        <v>1283</v>
      </c>
      <c r="BR372" s="112" t="s">
        <v>1283</v>
      </c>
      <c r="BS372" s="112" t="s">
        <v>1283</v>
      </c>
      <c r="BT372" s="112" t="s">
        <v>1283</v>
      </c>
      <c r="BU372" s="112" t="s">
        <v>1283</v>
      </c>
      <c r="BV372" s="111">
        <f t="shared" ref="BV372" si="3553">E372</f>
        <v>45</v>
      </c>
      <c r="BW372" s="113">
        <f t="shared" ref="BW372" si="3554">I372</f>
        <v>75</v>
      </c>
      <c r="BX372" s="114">
        <f t="shared" ref="BX372" si="3555">M372</f>
        <v>79</v>
      </c>
      <c r="BY372" s="113">
        <f t="shared" ref="BY372" si="3556">Q372</f>
        <v>111</v>
      </c>
      <c r="BZ372" s="114">
        <f t="shared" ref="BZ372" si="3557">U372</f>
        <v>115</v>
      </c>
      <c r="CA372" s="113" t="str">
        <f t="shared" ref="CA372" si="3558">Y372</f>
        <v>-</v>
      </c>
      <c r="CB372" s="114">
        <f t="shared" ref="CB372" si="3559">AC372</f>
        <v>157</v>
      </c>
      <c r="CC372" s="113">
        <f t="shared" ref="CC372" si="3560">AG372</f>
        <v>202</v>
      </c>
      <c r="CD372" s="114">
        <f t="shared" ref="CD372" si="3561">AK372</f>
        <v>210</v>
      </c>
      <c r="CE372" s="113">
        <f t="shared" ref="CE372" si="3562">AO372</f>
        <v>288</v>
      </c>
      <c r="CF372" s="114">
        <f t="shared" ref="CF372" si="3563">AS372</f>
        <v>333</v>
      </c>
      <c r="CG372" s="113">
        <f t="shared" ref="CG372" si="3564">AW372</f>
        <v>362</v>
      </c>
      <c r="CH372" s="111">
        <f t="shared" ref="CH372" si="3565">G372</f>
        <v>74</v>
      </c>
      <c r="CI372" s="113">
        <f t="shared" ref="CI372" si="3566">K372</f>
        <v>78</v>
      </c>
      <c r="CJ372" s="114">
        <f t="shared" ref="CJ372" si="3567">O372</f>
        <v>110</v>
      </c>
      <c r="CK372" s="114">
        <f t="shared" ref="CK372" si="3568">S372</f>
        <v>114</v>
      </c>
      <c r="CL372" s="114">
        <f t="shared" ref="CL372" si="3569">W372</f>
        <v>150</v>
      </c>
      <c r="CM372" s="114" t="str">
        <f t="shared" ref="CM372" si="3570">AA372</f>
        <v>-</v>
      </c>
      <c r="CN372" s="114">
        <f t="shared" ref="CN372" si="3571">AE372</f>
        <v>183</v>
      </c>
      <c r="CO372" s="114">
        <f t="shared" ref="CO372" si="3572">AI372</f>
        <v>204</v>
      </c>
      <c r="CP372" s="114">
        <f t="shared" ref="CP372" si="3573">AM372</f>
        <v>242</v>
      </c>
      <c r="CQ372" s="114">
        <f t="shared" ref="CQ372" si="3574">AQ372</f>
        <v>323</v>
      </c>
      <c r="CR372" s="114">
        <f t="shared" ref="CR372" si="3575">AU372</f>
        <v>361</v>
      </c>
      <c r="CS372" s="114">
        <f t="shared" ref="CS372" si="3576">AY372</f>
        <v>373</v>
      </c>
      <c r="CT372" s="109">
        <f t="shared" ref="CT372" si="3577">M372-K372</f>
        <v>1</v>
      </c>
      <c r="AMP372" s="40"/>
    </row>
    <row r="373" spans="1:1030" x14ac:dyDescent="0.2">
      <c r="A373" s="3" t="str">
        <f t="shared" si="2960"/>
        <v>ox2r_human__wt</v>
      </c>
      <c r="B373" s="3" t="s">
        <v>1171</v>
      </c>
      <c r="C373" s="3" t="s">
        <v>100</v>
      </c>
      <c r="D373" s="3" t="str">
        <f>IFERROR(MID(VLOOKUP($B373,Seqs!$A:$B,2,0),E373,1),"")</f>
        <v>Y</v>
      </c>
      <c r="E373" s="3">
        <v>53</v>
      </c>
      <c r="F373" s="3" t="str">
        <f>IFERROR(MID(VLOOKUP($B373,Seqs!$A:$B,2,0),G373,1),"")</f>
        <v>N</v>
      </c>
      <c r="G373" s="3">
        <v>82</v>
      </c>
      <c r="H373" s="3" t="str">
        <f>IFERROR(MID(VLOOKUP($B373,Seqs!$A:$B,2,0),I373,1),"")</f>
        <v>H</v>
      </c>
      <c r="I373" s="23">
        <v>83</v>
      </c>
      <c r="J373" s="3" t="str">
        <f>IFERROR(MID(VLOOKUP($B373,Seqs!$A:$B,2,0),K373,1),"")</f>
        <v>R</v>
      </c>
      <c r="K373" s="23">
        <v>86</v>
      </c>
      <c r="L373" s="3" t="str">
        <f>IFERROR(MID(VLOOKUP($B373,Seqs!$A:$B,2,0),M373,1),"")</f>
        <v>T</v>
      </c>
      <c r="M373" s="3">
        <v>87</v>
      </c>
      <c r="N373" s="3" t="str">
        <f>IFERROR(MID(VLOOKUP($B373,Seqs!$A:$B,2,0),O373,1),"")</f>
        <v>E</v>
      </c>
      <c r="O373" s="105">
        <v>118</v>
      </c>
      <c r="P373" s="3" t="str">
        <f>IFERROR(MID(VLOOKUP($B373,Seqs!$A:$B,2,0),Q373,1),"")</f>
        <v>T</v>
      </c>
      <c r="Q373" s="3">
        <v>119</v>
      </c>
      <c r="R373" s="3" t="str">
        <f>IFERROR(MID(VLOOKUP($B373,Seqs!$A:$B,2,0),S373,1),"")</f>
        <v>F</v>
      </c>
      <c r="S373" s="3">
        <v>122</v>
      </c>
      <c r="T373" s="3" t="str">
        <f>IFERROR(MID(VLOOKUP($B373,Seqs!$A:$B,2,0),U373,1),"")</f>
        <v>G</v>
      </c>
      <c r="U373" s="3">
        <v>123</v>
      </c>
      <c r="V373" s="3" t="str">
        <f>IFERROR(MID(VLOOKUP($B373,Seqs!$A:$B,2,0),W373,1),"")</f>
        <v>H</v>
      </c>
      <c r="W373" s="3">
        <v>158</v>
      </c>
      <c r="X373" s="3" t="str">
        <f>IFERROR(MID(VLOOKUP($B373,Seqs!$A:$B,2,0),Y373,1),"")</f>
        <v>P</v>
      </c>
      <c r="Y373" s="3">
        <v>159</v>
      </c>
      <c r="Z373" s="3" t="str">
        <f>IFERROR(MID(VLOOKUP($B373,Seqs!$A:$B,2,0),AA373,1),"")</f>
        <v>F</v>
      </c>
      <c r="AA373" s="73">
        <v>162</v>
      </c>
      <c r="AB373" s="3" t="str">
        <f>IFERROR(MID(VLOOKUP($B373,Seqs!$A:$B,2,0),AC373,1),"")</f>
        <v>T</v>
      </c>
      <c r="AC373" s="9">
        <v>165</v>
      </c>
      <c r="AD373" s="3" t="str">
        <f>IFERROR(MID(VLOOKUP($B373,Seqs!$A:$B,2,0),AE373,1),"")</f>
        <v>M</v>
      </c>
      <c r="AE373" s="3">
        <v>191</v>
      </c>
      <c r="AF373" s="3" t="str">
        <f>IFERROR(MID(VLOOKUP($B373,Seqs!$A:$B,2,0),AG373,1),"")</f>
        <v>C</v>
      </c>
      <c r="AG373" s="3">
        <v>210</v>
      </c>
      <c r="AH373" s="3" t="str">
        <f>IFERROR(MID(VLOOKUP($B373,Seqs!$A:$B,2,0),AI373,1),"")</f>
        <v>E</v>
      </c>
      <c r="AI373" s="3">
        <v>212</v>
      </c>
      <c r="AJ373" s="3" t="str">
        <f>IFERROR(MID(VLOOKUP($B373,Seqs!$A:$B,2,0),AK373,1),"")</f>
        <v>I</v>
      </c>
      <c r="AK373" s="105">
        <v>218</v>
      </c>
      <c r="AL373" s="3" t="str">
        <f>IFERROR(MID(VLOOKUP($B373,Seqs!$A:$B,2,0),AM373,1),"")</f>
        <v>P</v>
      </c>
      <c r="AM373" s="3">
        <v>256</v>
      </c>
      <c r="AN373" s="3" t="str">
        <f>IFERROR(MID(VLOOKUP($B373,Seqs!$A:$B,2,0),AO373,1),"")</f>
        <v>V</v>
      </c>
      <c r="AO373" s="3">
        <v>289</v>
      </c>
      <c r="AP373" s="3" t="str">
        <f>IFERROR(MID(VLOOKUP($B373,Seqs!$A:$B,2,0),AQ373,1),"")</f>
        <v>F</v>
      </c>
      <c r="AQ373" s="3">
        <v>330</v>
      </c>
      <c r="AR373" s="3" t="str">
        <f>IFERROR(MID(VLOOKUP($B373,Seqs!$A:$B,2,0),AS373,1),"")</f>
        <v>D</v>
      </c>
      <c r="AS373" s="105">
        <v>338</v>
      </c>
      <c r="AT373" s="3" t="str">
        <f>IFERROR(MID(VLOOKUP($B373,Seqs!$A:$B,2,0),AU373,1),"")</f>
        <v>L</v>
      </c>
      <c r="AU373" s="3">
        <v>367</v>
      </c>
      <c r="AV373" s="3" t="str">
        <f>IFERROR(MID(VLOOKUP($B373,Seqs!$A:$B,2,0),AW373,1),"")</f>
        <v>S</v>
      </c>
      <c r="AW373" s="3">
        <v>368</v>
      </c>
      <c r="AX373" s="3" t="str">
        <f>IFERROR(MID(VLOOKUP($B373,Seqs!$A:$B,2,0),AY373,1),"")</f>
        <v>L</v>
      </c>
      <c r="AY373" s="105">
        <v>384</v>
      </c>
      <c r="AZ373" s="77" t="str">
        <f>VLOOKUP(B373,Classification!A:D,2,0)</f>
        <v>A</v>
      </c>
      <c r="BA373" s="94" t="str">
        <f>VLOOKUP(B373,Classification!A:D,4,0)</f>
        <v>Orexin</v>
      </c>
      <c r="BB373" s="27" t="b">
        <f t="shared" si="2961"/>
        <v>1</v>
      </c>
      <c r="BC373" s="23">
        <f t="shared" si="2934"/>
        <v>268</v>
      </c>
      <c r="BD373" s="56" t="s">
        <v>23</v>
      </c>
      <c r="BE373" s="3" t="s">
        <v>23</v>
      </c>
      <c r="BF373" s="118" t="s">
        <v>23</v>
      </c>
      <c r="BG373" s="49" t="s">
        <v>1368</v>
      </c>
      <c r="BH373" s="49" t="s">
        <v>1373</v>
      </c>
      <c r="BI373" s="1"/>
      <c r="BJ373" s="70" t="s">
        <v>1283</v>
      </c>
      <c r="BK373" s="57" t="s">
        <v>1283</v>
      </c>
      <c r="BL373" s="57" t="s">
        <v>1283</v>
      </c>
      <c r="BM373" s="57" t="s">
        <v>1283</v>
      </c>
      <c r="BN373" s="57" t="s">
        <v>1283</v>
      </c>
      <c r="BO373" s="57" t="s">
        <v>1283</v>
      </c>
      <c r="BP373" s="57" t="s">
        <v>1283</v>
      </c>
      <c r="BQ373" s="57" t="s">
        <v>1283</v>
      </c>
      <c r="BR373" s="57" t="s">
        <v>1283</v>
      </c>
      <c r="BS373" s="57" t="s">
        <v>1283</v>
      </c>
      <c r="BT373" s="57" t="s">
        <v>1283</v>
      </c>
      <c r="BU373" s="57" t="s">
        <v>1283</v>
      </c>
      <c r="BV373" s="70">
        <f t="shared" si="2935"/>
        <v>53</v>
      </c>
      <c r="BW373" s="71">
        <f t="shared" si="2936"/>
        <v>83</v>
      </c>
      <c r="BX373" s="72">
        <f t="shared" si="2937"/>
        <v>87</v>
      </c>
      <c r="BY373" s="71">
        <f t="shared" si="2938"/>
        <v>119</v>
      </c>
      <c r="BZ373" s="72">
        <f t="shared" si="2939"/>
        <v>123</v>
      </c>
      <c r="CA373" s="71">
        <f t="shared" si="2940"/>
        <v>159</v>
      </c>
      <c r="CB373" s="72">
        <f t="shared" si="2941"/>
        <v>165</v>
      </c>
      <c r="CC373" s="71">
        <f t="shared" si="2942"/>
        <v>210</v>
      </c>
      <c r="CD373" s="72">
        <f t="shared" si="2943"/>
        <v>218</v>
      </c>
      <c r="CE373" s="71">
        <f t="shared" si="2944"/>
        <v>289</v>
      </c>
      <c r="CF373" s="72">
        <f t="shared" si="2945"/>
        <v>338</v>
      </c>
      <c r="CG373" s="71">
        <f t="shared" si="2946"/>
        <v>368</v>
      </c>
      <c r="CH373" s="70">
        <f t="shared" si="2947"/>
        <v>82</v>
      </c>
      <c r="CI373" s="71">
        <f t="shared" si="2948"/>
        <v>86</v>
      </c>
      <c r="CJ373" s="72">
        <f t="shared" si="2949"/>
        <v>118</v>
      </c>
      <c r="CK373" s="72">
        <f t="shared" si="2950"/>
        <v>122</v>
      </c>
      <c r="CL373" s="72">
        <f t="shared" si="2951"/>
        <v>158</v>
      </c>
      <c r="CM373" s="72">
        <f t="shared" si="2952"/>
        <v>162</v>
      </c>
      <c r="CN373" s="72">
        <f t="shared" si="2953"/>
        <v>191</v>
      </c>
      <c r="CO373" s="72">
        <f t="shared" si="2954"/>
        <v>212</v>
      </c>
      <c r="CP373" s="72">
        <f t="shared" si="2955"/>
        <v>256</v>
      </c>
      <c r="CQ373" s="72">
        <f t="shared" si="2956"/>
        <v>330</v>
      </c>
      <c r="CR373" s="72">
        <f t="shared" si="2957"/>
        <v>367</v>
      </c>
      <c r="CS373" s="72">
        <f t="shared" si="2958"/>
        <v>384</v>
      </c>
      <c r="CT373" s="23">
        <f t="shared" si="2959"/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30" x14ac:dyDescent="0.2">
      <c r="A374" s="3" t="str">
        <f t="shared" si="2960"/>
        <v>ox2r_human_4S0V</v>
      </c>
      <c r="B374" s="3" t="s">
        <v>1171</v>
      </c>
      <c r="C374" s="3" t="s">
        <v>92</v>
      </c>
      <c r="D374" s="3" t="str">
        <f>IFERROR(MID(VLOOKUP($B374,Seqs!$A:$B,2,0),E374,1),"")</f>
        <v>Y</v>
      </c>
      <c r="E374" s="3">
        <v>53</v>
      </c>
      <c r="F374" s="3" t="str">
        <f>IFERROR(MID(VLOOKUP($B374,Seqs!$A:$B,2,0),G374,1),"")</f>
        <v>N</v>
      </c>
      <c r="G374" s="3">
        <v>82</v>
      </c>
      <c r="H374" s="3" t="str">
        <f>IFERROR(MID(VLOOKUP($B374,Seqs!$A:$B,2,0),I374,1),"")</f>
        <v>H</v>
      </c>
      <c r="I374" s="23">
        <v>83</v>
      </c>
      <c r="J374" s="3" t="str">
        <f>IFERROR(MID(VLOOKUP($B374,Seqs!$A:$B,2,0),K374,1),"")</f>
        <v>R</v>
      </c>
      <c r="K374" s="23">
        <v>86</v>
      </c>
      <c r="L374" s="3" t="str">
        <f>IFERROR(MID(VLOOKUP($B374,Seqs!$A:$B,2,0),M374,1),"")</f>
        <v>T</v>
      </c>
      <c r="M374" s="3">
        <v>87</v>
      </c>
      <c r="N374" s="3" t="str">
        <f>IFERROR(MID(VLOOKUP($B374,Seqs!$A:$B,2,0),O374,1),"")</f>
        <v>E</v>
      </c>
      <c r="O374" s="105">
        <v>118</v>
      </c>
      <c r="P374" s="3" t="str">
        <f>IFERROR(MID(VLOOKUP($B374,Seqs!$A:$B,2,0),Q374,1),"")</f>
        <v>T</v>
      </c>
      <c r="Q374" s="3">
        <v>119</v>
      </c>
      <c r="R374" s="3" t="str">
        <f>IFERROR(MID(VLOOKUP($B374,Seqs!$A:$B,2,0),S374,1),"")</f>
        <v>F</v>
      </c>
      <c r="S374" s="3">
        <v>122</v>
      </c>
      <c r="T374" s="3" t="str">
        <f>IFERROR(MID(VLOOKUP($B374,Seqs!$A:$B,2,0),U374,1),"")</f>
        <v>G</v>
      </c>
      <c r="U374" s="3">
        <v>123</v>
      </c>
      <c r="V374" s="3" t="str">
        <f>IFERROR(MID(VLOOKUP($B374,Seqs!$A:$B,2,0),W374,1),"")</f>
        <v>H</v>
      </c>
      <c r="W374" s="3">
        <v>158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T</v>
      </c>
      <c r="AC374" s="9">
        <v>165</v>
      </c>
      <c r="AD374" s="3" t="str">
        <f>IFERROR(MID(VLOOKUP($B374,Seqs!$A:$B,2,0),AE374,1),"")</f>
        <v>M</v>
      </c>
      <c r="AE374" s="3">
        <v>191</v>
      </c>
      <c r="AF374" s="3" t="str">
        <f>IFERROR(MID(VLOOKUP($B374,Seqs!$A:$B,2,0),AG374,1),"")</f>
        <v>C</v>
      </c>
      <c r="AG374" s="3">
        <v>210</v>
      </c>
      <c r="AH374" s="3" t="str">
        <f>IFERROR(MID(VLOOKUP($B374,Seqs!$A:$B,2,0),AI374,1),"")</f>
        <v>E</v>
      </c>
      <c r="AI374" s="3">
        <v>212</v>
      </c>
      <c r="AJ374" s="3" t="str">
        <f>IFERROR(MID(VLOOKUP($B374,Seqs!$A:$B,2,0),AK374,1),"")</f>
        <v>I</v>
      </c>
      <c r="AK374" s="105">
        <v>218</v>
      </c>
      <c r="AL374" s="3" t="str">
        <f>IFERROR(MID(VLOOKUP($B374,Seqs!$A:$B,2,0),AM374,1),"")</f>
        <v>C</v>
      </c>
      <c r="AM374" s="105">
        <v>252</v>
      </c>
      <c r="AN374" s="3" t="str">
        <f>IFERROR(MID(VLOOKUP($B374,Seqs!$A:$B,2,0),AO374,1),"")</f>
        <v>K</v>
      </c>
      <c r="AO374" s="3">
        <v>294</v>
      </c>
      <c r="AP374" s="3" t="str">
        <f>IFERROR(MID(VLOOKUP($B374,Seqs!$A:$B,2,0),AQ374,1),"")</f>
        <v>F</v>
      </c>
      <c r="AQ374" s="3">
        <v>330</v>
      </c>
      <c r="AR374" s="3" t="str">
        <f>IFERROR(MID(VLOOKUP($B374,Seqs!$A:$B,2,0),AS374,1),"")</f>
        <v>R</v>
      </c>
      <c r="AS374" s="3">
        <v>339</v>
      </c>
      <c r="AT374" s="3" t="str">
        <f>IFERROR(MID(VLOOKUP($B374,Seqs!$A:$B,2,0),AU374,1),"")</f>
        <v>L</v>
      </c>
      <c r="AU374" s="3">
        <v>367</v>
      </c>
      <c r="AV374" s="3" t="str">
        <f>IFERROR(MID(VLOOKUP($B374,Seqs!$A:$B,2,0),AW374,1),"")</f>
        <v>S</v>
      </c>
      <c r="AW374" s="3">
        <v>368</v>
      </c>
      <c r="AX374" s="3" t="str">
        <f>IFERROR(MID(VLOOKUP($B374,Seqs!$A:$B,2,0),AY374,1),"")</f>
        <v>F</v>
      </c>
      <c r="AY374" s="3">
        <v>379</v>
      </c>
      <c r="AZ374" s="77" t="str">
        <f>VLOOKUP(B374,Classification!A:D,2,0)</f>
        <v>A</v>
      </c>
      <c r="BA374" s="94" t="str">
        <f>VLOOKUP(B374,Classification!A:D,4,0)</f>
        <v>Orexin</v>
      </c>
      <c r="BB374" s="27" t="b">
        <f t="shared" si="2961"/>
        <v>1</v>
      </c>
      <c r="BC374" s="23">
        <f t="shared" si="2934"/>
        <v>250</v>
      </c>
      <c r="BD374" s="2" t="s">
        <v>23</v>
      </c>
      <c r="BE374" s="3" t="s">
        <v>1370</v>
      </c>
      <c r="BF374" s="118">
        <v>2.5</v>
      </c>
      <c r="BG374" s="49" t="s">
        <v>1373</v>
      </c>
      <c r="BH374" s="49" t="s">
        <v>1373</v>
      </c>
      <c r="BI374" s="1"/>
      <c r="BJ374" s="70" t="s">
        <v>1283</v>
      </c>
      <c r="BK374" s="57" t="s">
        <v>1283</v>
      </c>
      <c r="BL374" s="57" t="s">
        <v>1283</v>
      </c>
      <c r="BM374" s="57" t="s">
        <v>1283</v>
      </c>
      <c r="BN374" s="57" t="s">
        <v>1283</v>
      </c>
      <c r="BO374" s="57" t="s">
        <v>1283</v>
      </c>
      <c r="BP374" s="57" t="s">
        <v>1283</v>
      </c>
      <c r="BQ374" s="57" t="s">
        <v>1283</v>
      </c>
      <c r="BR374" s="57" t="s">
        <v>1283</v>
      </c>
      <c r="BS374" s="57" t="s">
        <v>1283</v>
      </c>
      <c r="BT374" s="57" t="s">
        <v>1283</v>
      </c>
      <c r="BU374" s="57" t="s">
        <v>1283</v>
      </c>
      <c r="BV374" s="70">
        <f t="shared" si="2935"/>
        <v>53</v>
      </c>
      <c r="BW374" s="71">
        <f t="shared" si="2936"/>
        <v>83</v>
      </c>
      <c r="BX374" s="72">
        <f t="shared" si="2937"/>
        <v>87</v>
      </c>
      <c r="BY374" s="71">
        <f t="shared" si="2938"/>
        <v>119</v>
      </c>
      <c r="BZ374" s="72">
        <f t="shared" si="2939"/>
        <v>123</v>
      </c>
      <c r="CA374" s="71" t="str">
        <f t="shared" si="2940"/>
        <v>-</v>
      </c>
      <c r="CB374" s="72">
        <f t="shared" si="2941"/>
        <v>165</v>
      </c>
      <c r="CC374" s="71">
        <f t="shared" si="2942"/>
        <v>210</v>
      </c>
      <c r="CD374" s="72">
        <f t="shared" si="2943"/>
        <v>218</v>
      </c>
      <c r="CE374" s="71">
        <f t="shared" si="2944"/>
        <v>294</v>
      </c>
      <c r="CF374" s="72">
        <f t="shared" si="2945"/>
        <v>339</v>
      </c>
      <c r="CG374" s="71">
        <f t="shared" si="2946"/>
        <v>368</v>
      </c>
      <c r="CH374" s="70">
        <f t="shared" si="2947"/>
        <v>82</v>
      </c>
      <c r="CI374" s="71">
        <f t="shared" si="2948"/>
        <v>86</v>
      </c>
      <c r="CJ374" s="72">
        <f t="shared" si="2949"/>
        <v>118</v>
      </c>
      <c r="CK374" s="72">
        <f t="shared" si="2950"/>
        <v>122</v>
      </c>
      <c r="CL374" s="72">
        <f t="shared" si="2951"/>
        <v>158</v>
      </c>
      <c r="CM374" s="72" t="str">
        <f t="shared" si="2952"/>
        <v>-</v>
      </c>
      <c r="CN374" s="72">
        <f t="shared" si="2953"/>
        <v>191</v>
      </c>
      <c r="CO374" s="72">
        <f t="shared" si="2954"/>
        <v>212</v>
      </c>
      <c r="CP374" s="72">
        <f t="shared" si="2955"/>
        <v>252</v>
      </c>
      <c r="CQ374" s="72">
        <f t="shared" si="2956"/>
        <v>330</v>
      </c>
      <c r="CR374" s="72">
        <f t="shared" si="2957"/>
        <v>367</v>
      </c>
      <c r="CS374" s="72">
        <f t="shared" si="2958"/>
        <v>379</v>
      </c>
      <c r="CT374" s="23">
        <f t="shared" si="2959"/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30" x14ac:dyDescent="0.2">
      <c r="A375" s="3" t="str">
        <f>CONCATENATE(B375,"_",C375)</f>
        <v>ox2r_human_5WQC</v>
      </c>
      <c r="B375" s="3" t="s">
        <v>1171</v>
      </c>
      <c r="C375" s="3" t="s">
        <v>1443</v>
      </c>
      <c r="D375" s="3" t="str">
        <f>IFERROR(MID(VLOOKUP($B375,Seqs!$A:$B,2,0),E375,1),"")</f>
        <v>Y</v>
      </c>
      <c r="E375" s="3">
        <v>53</v>
      </c>
      <c r="F375" s="3" t="str">
        <f>IFERROR(MID(VLOOKUP($B375,Seqs!$A:$B,2,0),G375,1),"")</f>
        <v>N</v>
      </c>
      <c r="G375" s="3">
        <v>82</v>
      </c>
      <c r="H375" s="3" t="str">
        <f>IFERROR(MID(VLOOKUP($B375,Seqs!$A:$B,2,0),I375,1),"")</f>
        <v>H</v>
      </c>
      <c r="I375" s="23">
        <v>83</v>
      </c>
      <c r="J375" s="3" t="str">
        <f>IFERROR(MID(VLOOKUP($B375,Seqs!$A:$B,2,0),K375,1),"")</f>
        <v>R</v>
      </c>
      <c r="K375" s="23">
        <v>86</v>
      </c>
      <c r="L375" s="3" t="str">
        <f>IFERROR(MID(VLOOKUP($B375,Seqs!$A:$B,2,0),M375,1),"")</f>
        <v>T</v>
      </c>
      <c r="M375" s="3">
        <v>87</v>
      </c>
      <c r="N375" s="3" t="str">
        <f>IFERROR(MID(VLOOKUP($B375,Seqs!$A:$B,2,0),O375,1),"")</f>
        <v>E</v>
      </c>
      <c r="O375" s="3">
        <v>118</v>
      </c>
      <c r="P375" s="3" t="str">
        <f>IFERROR(MID(VLOOKUP($B375,Seqs!$A:$B,2,0),Q375,1),"")</f>
        <v>T</v>
      </c>
      <c r="Q375" s="3">
        <v>119</v>
      </c>
      <c r="R375" s="3" t="str">
        <f>IFERROR(MID(VLOOKUP($B375,Seqs!$A:$B,2,0),S375,1),"")</f>
        <v>F</v>
      </c>
      <c r="S375" s="3">
        <v>122</v>
      </c>
      <c r="T375" s="3" t="str">
        <f>IFERROR(MID(VLOOKUP($B375,Seqs!$A:$B,2,0),U375,1),"")</f>
        <v>G</v>
      </c>
      <c r="U375" s="3">
        <v>123</v>
      </c>
      <c r="V375" s="3" t="str">
        <f>IFERROR(MID(VLOOKUP($B375,Seqs!$A:$B,2,0),W375,1),"")</f>
        <v>H</v>
      </c>
      <c r="W375" s="3">
        <v>158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165</v>
      </c>
      <c r="AD375" s="3" t="str">
        <f>IFERROR(MID(VLOOKUP($B375,Seqs!$A:$B,2,0),AE375,1),"")</f>
        <v>M</v>
      </c>
      <c r="AE375" s="3">
        <v>191</v>
      </c>
      <c r="AF375" s="3" t="str">
        <f>IFERROR(MID(VLOOKUP($B375,Seqs!$A:$B,2,0),AG375,1),"")</f>
        <v>C</v>
      </c>
      <c r="AG375" s="3">
        <v>210</v>
      </c>
      <c r="AH375" s="3" t="str">
        <f>IFERROR(MID(VLOOKUP($B375,Seqs!$A:$B,2,0),AI375,1),"")</f>
        <v>E</v>
      </c>
      <c r="AI375" s="3">
        <v>212</v>
      </c>
      <c r="AJ375" s="3" t="str">
        <f>IFERROR(MID(VLOOKUP($B375,Seqs!$A:$B,2,0),AK375,1),"")</f>
        <v>I</v>
      </c>
      <c r="AK375" s="3">
        <v>218</v>
      </c>
      <c r="AL375" s="3" t="str">
        <f>IFERROR(MID(VLOOKUP($B375,Seqs!$A:$B,2,0),AM375,1),"")</f>
        <v>C</v>
      </c>
      <c r="AM375" s="3">
        <v>252</v>
      </c>
      <c r="AN375" s="3" t="str">
        <f>IFERROR(MID(VLOOKUP($B375,Seqs!$A:$B,2,0),AO375,1),"")</f>
        <v>K</v>
      </c>
      <c r="AO375" s="3">
        <v>294</v>
      </c>
      <c r="AP375" s="3" t="str">
        <f>IFERROR(MID(VLOOKUP($B375,Seqs!$A:$B,2,0),AQ375,1),"")</f>
        <v>F</v>
      </c>
      <c r="AQ375" s="3">
        <v>330</v>
      </c>
      <c r="AR375" s="3" t="str">
        <f>IFERROR(MID(VLOOKUP($B375,Seqs!$A:$B,2,0),AS375,1),"")</f>
        <v>D</v>
      </c>
      <c r="AS375" s="3">
        <v>338</v>
      </c>
      <c r="AT375" s="3" t="str">
        <f>IFERROR(MID(VLOOKUP($B375,Seqs!$A:$B,2,0),AU375,1),"")</f>
        <v>L</v>
      </c>
      <c r="AU375" s="3">
        <v>367</v>
      </c>
      <c r="AV375" s="3" t="str">
        <f>IFERROR(MID(VLOOKUP($B375,Seqs!$A:$B,2,0),AW375,1),"")</f>
        <v>S</v>
      </c>
      <c r="AW375" s="3">
        <v>368</v>
      </c>
      <c r="AX375" s="3" t="str">
        <f>IFERROR(MID(VLOOKUP($B375,Seqs!$A:$B,2,0),AY375,1),"")</f>
        <v>C</v>
      </c>
      <c r="AY375" s="3">
        <v>383</v>
      </c>
      <c r="AZ375" s="77" t="str">
        <f>VLOOKUP(B375,Classification!A:D,2,0)</f>
        <v>A</v>
      </c>
      <c r="BA375" s="94" t="str">
        <f>VLOOKUP(B375,Classification!A:D,4,0)</f>
        <v>Orexin</v>
      </c>
      <c r="BB375" s="27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255</v>
      </c>
      <c r="BD375" s="2" t="s">
        <v>23</v>
      </c>
      <c r="BE375" s="3" t="s">
        <v>1370</v>
      </c>
      <c r="BF375" s="118">
        <v>1.96</v>
      </c>
      <c r="BG375" s="49" t="s">
        <v>1</v>
      </c>
      <c r="BH375" s="49" t="s">
        <v>1</v>
      </c>
      <c r="BI375" s="1"/>
      <c r="BJ375" s="70" t="s">
        <v>1283</v>
      </c>
      <c r="BK375" s="57" t="s">
        <v>1283</v>
      </c>
      <c r="BL375" s="57" t="s">
        <v>1283</v>
      </c>
      <c r="BM375" s="57" t="s">
        <v>1283</v>
      </c>
      <c r="BN375" s="57" t="s">
        <v>1283</v>
      </c>
      <c r="BO375" s="57" t="s">
        <v>1283</v>
      </c>
      <c r="BP375" s="57" t="s">
        <v>1283</v>
      </c>
      <c r="BQ375" s="57" t="s">
        <v>1283</v>
      </c>
      <c r="BR375" s="57" t="s">
        <v>1283</v>
      </c>
      <c r="BS375" s="57" t="s">
        <v>1283</v>
      </c>
      <c r="BT375" s="57" t="s">
        <v>1283</v>
      </c>
      <c r="BU375" s="57" t="s">
        <v>1283</v>
      </c>
      <c r="BV375" s="70">
        <f>E375</f>
        <v>53</v>
      </c>
      <c r="BW375" s="71">
        <f>I375</f>
        <v>83</v>
      </c>
      <c r="BX375" s="72">
        <f>M375</f>
        <v>87</v>
      </c>
      <c r="BY375" s="71">
        <f>Q375</f>
        <v>119</v>
      </c>
      <c r="BZ375" s="72">
        <f>U375</f>
        <v>123</v>
      </c>
      <c r="CA375" s="71" t="str">
        <f>Y375</f>
        <v>-</v>
      </c>
      <c r="CB375" s="72">
        <f>AC375</f>
        <v>165</v>
      </c>
      <c r="CC375" s="71">
        <f>AG375</f>
        <v>210</v>
      </c>
      <c r="CD375" s="72">
        <f>AK375</f>
        <v>218</v>
      </c>
      <c r="CE375" s="71">
        <f>AO375</f>
        <v>294</v>
      </c>
      <c r="CF375" s="72">
        <f>AS375</f>
        <v>338</v>
      </c>
      <c r="CG375" s="71">
        <f>AW375</f>
        <v>368</v>
      </c>
      <c r="CH375" s="70">
        <f>G375</f>
        <v>82</v>
      </c>
      <c r="CI375" s="71">
        <f>K375</f>
        <v>86</v>
      </c>
      <c r="CJ375" s="72">
        <f>O375</f>
        <v>118</v>
      </c>
      <c r="CK375" s="72">
        <f>S375</f>
        <v>122</v>
      </c>
      <c r="CL375" s="72">
        <f>W375</f>
        <v>158</v>
      </c>
      <c r="CM375" s="72" t="str">
        <f>AA375</f>
        <v>-</v>
      </c>
      <c r="CN375" s="72">
        <f>AE375</f>
        <v>191</v>
      </c>
      <c r="CO375" s="72">
        <f>AI375</f>
        <v>212</v>
      </c>
      <c r="CP375" s="72">
        <f>AM375</f>
        <v>252</v>
      </c>
      <c r="CQ375" s="72">
        <f>AQ375</f>
        <v>330</v>
      </c>
      <c r="CR375" s="72">
        <f>AU375</f>
        <v>367</v>
      </c>
      <c r="CS375" s="72">
        <f>AY375</f>
        <v>383</v>
      </c>
      <c r="CT375" s="23">
        <f>M375-K375</f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30" x14ac:dyDescent="0.2">
      <c r="A376" s="3" t="str">
        <f>CONCATENATE(B376,"_",C376)</f>
        <v>ox2r_human_5WS3</v>
      </c>
      <c r="B376" s="3" t="s">
        <v>1171</v>
      </c>
      <c r="C376" s="3" t="s">
        <v>1444</v>
      </c>
      <c r="D376" s="3" t="str">
        <f>IFERROR(MID(VLOOKUP($B376,Seqs!$A:$B,2,0),E376,1),"")</f>
        <v>Y</v>
      </c>
      <c r="E376" s="3">
        <v>53</v>
      </c>
      <c r="F376" s="3" t="str">
        <f>IFERROR(MID(VLOOKUP($B376,Seqs!$A:$B,2,0),G376,1),"")</f>
        <v>N</v>
      </c>
      <c r="G376" s="3">
        <v>82</v>
      </c>
      <c r="H376" s="3" t="str">
        <f>IFERROR(MID(VLOOKUP($B376,Seqs!$A:$B,2,0),I376,1),"")</f>
        <v>H</v>
      </c>
      <c r="I376" s="23">
        <v>83</v>
      </c>
      <c r="J376" s="3" t="str">
        <f>IFERROR(MID(VLOOKUP($B376,Seqs!$A:$B,2,0),K376,1),"")</f>
        <v>R</v>
      </c>
      <c r="K376" s="23">
        <v>86</v>
      </c>
      <c r="L376" s="3" t="str">
        <f>IFERROR(MID(VLOOKUP($B376,Seqs!$A:$B,2,0),M376,1),"")</f>
        <v>T</v>
      </c>
      <c r="M376" s="3">
        <v>87</v>
      </c>
      <c r="N376" s="3" t="str">
        <f>IFERROR(MID(VLOOKUP($B376,Seqs!$A:$B,2,0),O376,1),"")</f>
        <v>E</v>
      </c>
      <c r="O376" s="3">
        <v>118</v>
      </c>
      <c r="P376" s="3" t="str">
        <f>IFERROR(MID(VLOOKUP($B376,Seqs!$A:$B,2,0),Q376,1),"")</f>
        <v>T</v>
      </c>
      <c r="Q376" s="3">
        <v>119</v>
      </c>
      <c r="R376" s="3" t="str">
        <f>IFERROR(MID(VLOOKUP($B376,Seqs!$A:$B,2,0),S376,1),"")</f>
        <v>F</v>
      </c>
      <c r="S376" s="3">
        <v>122</v>
      </c>
      <c r="T376" s="3" t="str">
        <f>IFERROR(MID(VLOOKUP($B376,Seqs!$A:$B,2,0),U376,1),"")</f>
        <v>G</v>
      </c>
      <c r="U376" s="3">
        <v>123</v>
      </c>
      <c r="V376" s="3" t="str">
        <f>IFERROR(MID(VLOOKUP($B376,Seqs!$A:$B,2,0),W376,1),"")</f>
        <v>H</v>
      </c>
      <c r="W376" s="3">
        <v>158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T</v>
      </c>
      <c r="AC376" s="3">
        <v>165</v>
      </c>
      <c r="AD376" s="3" t="str">
        <f>IFERROR(MID(VLOOKUP($B376,Seqs!$A:$B,2,0),AE376,1),"")</f>
        <v>M</v>
      </c>
      <c r="AE376" s="3">
        <v>191</v>
      </c>
      <c r="AF376" s="3" t="str">
        <f>IFERROR(MID(VLOOKUP($B376,Seqs!$A:$B,2,0),AG376,1),"")</f>
        <v>C</v>
      </c>
      <c r="AG376" s="3">
        <v>210</v>
      </c>
      <c r="AH376" s="3" t="str">
        <f>IFERROR(MID(VLOOKUP($B376,Seqs!$A:$B,2,0),AI376,1),"")</f>
        <v>E</v>
      </c>
      <c r="AI376" s="3">
        <v>212</v>
      </c>
      <c r="AJ376" s="3" t="str">
        <f>IFERROR(MID(VLOOKUP($B376,Seqs!$A:$B,2,0),AK376,1),"")</f>
        <v>I</v>
      </c>
      <c r="AK376" s="3">
        <v>218</v>
      </c>
      <c r="AL376" s="3" t="str">
        <f>IFERROR(MID(VLOOKUP($B376,Seqs!$A:$B,2,0),AM376,1),"")</f>
        <v>C</v>
      </c>
      <c r="AM376" s="3">
        <v>252</v>
      </c>
      <c r="AN376" s="3" t="str">
        <f>IFERROR(MID(VLOOKUP($B376,Seqs!$A:$B,2,0),AO376,1),"")</f>
        <v>K</v>
      </c>
      <c r="AO376" s="3">
        <v>294</v>
      </c>
      <c r="AP376" s="3" t="str">
        <f>IFERROR(MID(VLOOKUP($B376,Seqs!$A:$B,2,0),AQ376,1),"")</f>
        <v>F</v>
      </c>
      <c r="AQ376" s="3">
        <v>330</v>
      </c>
      <c r="AR376" s="3" t="str">
        <f>IFERROR(MID(VLOOKUP($B376,Seqs!$A:$B,2,0),AS376,1),"")</f>
        <v>D</v>
      </c>
      <c r="AS376" s="3">
        <v>338</v>
      </c>
      <c r="AT376" s="3" t="str">
        <f>IFERROR(MID(VLOOKUP($B376,Seqs!$A:$B,2,0),AU376,1),"")</f>
        <v>L</v>
      </c>
      <c r="AU376" s="3">
        <v>367</v>
      </c>
      <c r="AV376" s="3" t="str">
        <f>IFERROR(MID(VLOOKUP($B376,Seqs!$A:$B,2,0),AW376,1),"")</f>
        <v>S</v>
      </c>
      <c r="AW376" s="3">
        <v>368</v>
      </c>
      <c r="AX376" s="3" t="str">
        <f>IFERROR(MID(VLOOKUP($B376,Seqs!$A:$B,2,0),AY376,1),"")</f>
        <v>C</v>
      </c>
      <c r="AY376" s="3">
        <v>383</v>
      </c>
      <c r="AZ376" s="77" t="str">
        <f>VLOOKUP(B376,Classification!A:D,2,0)</f>
        <v>A</v>
      </c>
      <c r="BA376" s="94" t="str">
        <f>VLOOKUP(B376,Classification!A:D,4,0)</f>
        <v>Orexin</v>
      </c>
      <c r="BB376" s="27" t="b">
        <f>AND(E376&lt;G376,OR(G376&lt;I376,I376="-"),OR(I376&lt;K376,I376="-"),OR(K376&lt;M376,K376="-"),M376&lt;O376,OR(O376&lt;Q376,Q376="-"),OR(Q376&lt;S376,Q376="-"),OR(S376&lt;U376,S376="-"),U376&lt;W376,OR(W376&lt;Y376,Y376="-"),OR(Y376&lt;AA376,Y376="-"),OR(AA376&lt;AC376,AA376="-"),AC376&lt;AE376,OR(AE376&lt;AG376,AG376="-"),OR(AG376&lt;AI376,AG376="-"),OR(AI376&lt;AK376,AI376="-"),AK376&lt;AM376,AM376&lt;AO376,AO376&lt;AQ376,AQ376&lt;AS376,AS376&lt;AU376,OR(AU376&lt;AW376,AW376="-"),OR(AW376&lt;AY376,AW376="-"))</f>
        <v>1</v>
      </c>
      <c r="BC376" s="23">
        <f>_xlfn.AGGREGATE(9,6,CH376:CS376)-_xlfn.AGGREGATE(9,6,BV376:CG376)+12</f>
        <v>255</v>
      </c>
      <c r="BD376" s="2" t="s">
        <v>1372</v>
      </c>
      <c r="BE376" s="3" t="s">
        <v>1370</v>
      </c>
      <c r="BF376" s="118">
        <v>2.2999999999999998</v>
      </c>
      <c r="BG376" s="49" t="s">
        <v>1</v>
      </c>
      <c r="BH376" s="49" t="s">
        <v>1</v>
      </c>
      <c r="BI376" s="1"/>
      <c r="BJ376" s="70" t="s">
        <v>1283</v>
      </c>
      <c r="BK376" s="57" t="s">
        <v>1283</v>
      </c>
      <c r="BL376" s="57" t="s">
        <v>1283</v>
      </c>
      <c r="BM376" s="57" t="s">
        <v>1283</v>
      </c>
      <c r="BN376" s="57" t="s">
        <v>1283</v>
      </c>
      <c r="BO376" s="57" t="s">
        <v>1283</v>
      </c>
      <c r="BP376" s="57" t="s">
        <v>1283</v>
      </c>
      <c r="BQ376" s="57" t="s">
        <v>1283</v>
      </c>
      <c r="BR376" s="57" t="s">
        <v>1283</v>
      </c>
      <c r="BS376" s="57" t="s">
        <v>1283</v>
      </c>
      <c r="BT376" s="57" t="s">
        <v>1283</v>
      </c>
      <c r="BU376" s="57" t="s">
        <v>1283</v>
      </c>
      <c r="BV376" s="70">
        <f>E376</f>
        <v>53</v>
      </c>
      <c r="BW376" s="71">
        <f>I376</f>
        <v>83</v>
      </c>
      <c r="BX376" s="72">
        <f>M376</f>
        <v>87</v>
      </c>
      <c r="BY376" s="71">
        <f>Q376</f>
        <v>119</v>
      </c>
      <c r="BZ376" s="72">
        <f>U376</f>
        <v>123</v>
      </c>
      <c r="CA376" s="71" t="str">
        <f>Y376</f>
        <v>-</v>
      </c>
      <c r="CB376" s="72">
        <f>AC376</f>
        <v>165</v>
      </c>
      <c r="CC376" s="71">
        <f>AG376</f>
        <v>210</v>
      </c>
      <c r="CD376" s="72">
        <f>AK376</f>
        <v>218</v>
      </c>
      <c r="CE376" s="71">
        <f>AO376</f>
        <v>294</v>
      </c>
      <c r="CF376" s="72">
        <f>AS376</f>
        <v>338</v>
      </c>
      <c r="CG376" s="71">
        <f>AW376</f>
        <v>368</v>
      </c>
      <c r="CH376" s="70">
        <f>G376</f>
        <v>82</v>
      </c>
      <c r="CI376" s="71">
        <f>K376</f>
        <v>86</v>
      </c>
      <c r="CJ376" s="72">
        <f>O376</f>
        <v>118</v>
      </c>
      <c r="CK376" s="72">
        <f>S376</f>
        <v>122</v>
      </c>
      <c r="CL376" s="72">
        <f>W376</f>
        <v>158</v>
      </c>
      <c r="CM376" s="72" t="str">
        <f>AA376</f>
        <v>-</v>
      </c>
      <c r="CN376" s="72">
        <f>AE376</f>
        <v>191</v>
      </c>
      <c r="CO376" s="72">
        <f>AI376</f>
        <v>212</v>
      </c>
      <c r="CP376" s="72">
        <f>AM376</f>
        <v>252</v>
      </c>
      <c r="CQ376" s="72">
        <f>AQ376</f>
        <v>330</v>
      </c>
      <c r="CR376" s="72">
        <f>AU376</f>
        <v>367</v>
      </c>
      <c r="CS376" s="72">
        <f>AY376</f>
        <v>383</v>
      </c>
      <c r="CT376" s="23">
        <f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30" x14ac:dyDescent="0.2">
      <c r="A377" s="3" t="str">
        <f>CONCATENATE(B377,"_",C377)</f>
        <v>ox2r_human_6TPG</v>
      </c>
      <c r="B377" s="3" t="s">
        <v>1171</v>
      </c>
      <c r="C377" s="3" t="s">
        <v>1642</v>
      </c>
      <c r="D377" s="3" t="str">
        <f>IFERROR(MID(VLOOKUP($B377,Seqs!$A:$B,2,0),E377,1),"")</f>
        <v>Y</v>
      </c>
      <c r="E377" s="3">
        <v>53</v>
      </c>
      <c r="F377" s="3" t="str">
        <f>IFERROR(MID(VLOOKUP($B377,Seqs!$A:$B,2,0),G377,1),"")</f>
        <v>N</v>
      </c>
      <c r="G377" s="3">
        <v>82</v>
      </c>
      <c r="H377" s="3" t="str">
        <f>IFERROR(MID(VLOOKUP($B377,Seqs!$A:$B,2,0),I377,1),"")</f>
        <v>H</v>
      </c>
      <c r="I377" s="23">
        <v>83</v>
      </c>
      <c r="J377" s="3" t="str">
        <f>IFERROR(MID(VLOOKUP($B377,Seqs!$A:$B,2,0),K377,1),"")</f>
        <v>R</v>
      </c>
      <c r="K377" s="23">
        <v>86</v>
      </c>
      <c r="L377" s="3" t="str">
        <f>IFERROR(MID(VLOOKUP($B377,Seqs!$A:$B,2,0),M377,1),"")</f>
        <v>T</v>
      </c>
      <c r="M377" s="3">
        <v>87</v>
      </c>
      <c r="N377" s="3" t="str">
        <f>IFERROR(MID(VLOOKUP($B377,Seqs!$A:$B,2,0),O377,1),"")</f>
        <v>E</v>
      </c>
      <c r="O377" s="3">
        <v>118</v>
      </c>
      <c r="P377" s="3" t="str">
        <f>IFERROR(MID(VLOOKUP($B377,Seqs!$A:$B,2,0),Q377,1),"")</f>
        <v>T</v>
      </c>
      <c r="Q377" s="3">
        <v>119</v>
      </c>
      <c r="R377" s="3" t="str">
        <f>IFERROR(MID(VLOOKUP($B377,Seqs!$A:$B,2,0),S377,1),"")</f>
        <v>F</v>
      </c>
      <c r="S377" s="3">
        <v>122</v>
      </c>
      <c r="T377" s="3" t="str">
        <f>IFERROR(MID(VLOOKUP($B377,Seqs!$A:$B,2,0),U377,1),"")</f>
        <v>G</v>
      </c>
      <c r="U377" s="3">
        <v>123</v>
      </c>
      <c r="V377" s="3" t="str">
        <f>IFERROR(MID(VLOOKUP($B377,Seqs!$A:$B,2,0),W377,1),"")</f>
        <v>C</v>
      </c>
      <c r="W377" s="3">
        <v>157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T</v>
      </c>
      <c r="AC377" s="3">
        <v>165</v>
      </c>
      <c r="AD377" s="3" t="str">
        <f>IFERROR(MID(VLOOKUP($B377,Seqs!$A:$B,2,0),AE377,1),"")</f>
        <v>M</v>
      </c>
      <c r="AE377" s="3">
        <v>191</v>
      </c>
      <c r="AF377" s="3" t="str">
        <f>IFERROR(MID(VLOOKUP($B377,Seqs!$A:$B,2,0),AG377,1),"")</f>
        <v>C</v>
      </c>
      <c r="AG377" s="3">
        <v>210</v>
      </c>
      <c r="AH377" s="3" t="str">
        <f>IFERROR(MID(VLOOKUP($B377,Seqs!$A:$B,2,0),AI377,1),"")</f>
        <v>E</v>
      </c>
      <c r="AI377" s="3">
        <v>212</v>
      </c>
      <c r="AJ377" s="3" t="str">
        <f>IFERROR(MID(VLOOKUP($B377,Seqs!$A:$B,2,0),AK377,1),"")</f>
        <v>I</v>
      </c>
      <c r="AK377" s="3">
        <v>218</v>
      </c>
      <c r="AL377" s="3" t="str">
        <f>IFERROR(MID(VLOOKUP($B377,Seqs!$A:$B,2,0),AM377,1),"")</f>
        <v>C</v>
      </c>
      <c r="AM377" s="3">
        <v>252</v>
      </c>
      <c r="AN377" s="3" t="str">
        <f>IFERROR(MID(VLOOKUP($B377,Seqs!$A:$B,2,0),AO377,1),"")</f>
        <v>K</v>
      </c>
      <c r="AO377" s="3">
        <v>294</v>
      </c>
      <c r="AP377" s="3" t="str">
        <f>IFERROR(MID(VLOOKUP($B377,Seqs!$A:$B,2,0),AQ377,1),"")</f>
        <v>F</v>
      </c>
      <c r="AQ377" s="3">
        <v>330</v>
      </c>
      <c r="AR377" s="3" t="str">
        <f>IFERROR(MID(VLOOKUP($B377,Seqs!$A:$B,2,0),AS377,1),"")</f>
        <v>R</v>
      </c>
      <c r="AS377" s="3">
        <v>339</v>
      </c>
      <c r="AT377" s="3" t="str">
        <f>IFERROR(MID(VLOOKUP($B377,Seqs!$A:$B,2,0),AU377,1),"")</f>
        <v>L</v>
      </c>
      <c r="AU377" s="3">
        <v>367</v>
      </c>
      <c r="AV377" s="3" t="str">
        <f>IFERROR(MID(VLOOKUP($B377,Seqs!$A:$B,2,0),AW377,1),"")</f>
        <v>S</v>
      </c>
      <c r="AW377" s="3">
        <v>368</v>
      </c>
      <c r="AX377" s="3" t="str">
        <f>IFERROR(MID(VLOOKUP($B377,Seqs!$A:$B,2,0),AY377,1),"")</f>
        <v>L</v>
      </c>
      <c r="AY377" s="3">
        <v>384</v>
      </c>
      <c r="AZ377" s="77" t="str">
        <f>VLOOKUP(B377,Classification!A:D,2,0)</f>
        <v>A</v>
      </c>
      <c r="BA377" s="94" t="str">
        <f>VLOOKUP(B377,Classification!A:D,4,0)</f>
        <v>Orexin</v>
      </c>
      <c r="BB377" s="27" t="b">
        <f>AND(E377&lt;G377,OR(G377&lt;I377,I377="-"),OR(I377&lt;K377,I377="-"),OR(K377&lt;M377,K377="-"),M377&lt;O377,OR(O377&lt;Q377,Q377="-"),OR(Q377&lt;S377,Q377="-"),OR(S377&lt;U377,S377="-"),U377&lt;W377,OR(W377&lt;Y377,Y377="-"),OR(Y377&lt;AA377,Y377="-"),OR(AA377&lt;AC377,AA377="-"),AC377&lt;AE377,OR(AE377&lt;AG377,AG377="-"),OR(AG377&lt;AI377,AG377="-"),OR(AI377&lt;AK377,AI377="-"),AK377&lt;AM377,AM377&lt;AO377,AO377&lt;AQ377,AQ377&lt;AS377,AS377&lt;AU377,OR(AU377&lt;AW377,AW377="-"),OR(AW377&lt;AY377,AW377="-"))</f>
        <v>1</v>
      </c>
      <c r="BC377" s="23">
        <f>_xlfn.AGGREGATE(9,6,CH377:CS377)-_xlfn.AGGREGATE(9,6,BV377:CG377)+12</f>
        <v>254</v>
      </c>
      <c r="BD377" s="2" t="s">
        <v>23</v>
      </c>
      <c r="BE377" s="3" t="s">
        <v>1370</v>
      </c>
      <c r="BF377" s="118">
        <v>2.74</v>
      </c>
      <c r="BG377" s="49" t="s">
        <v>1</v>
      </c>
      <c r="BH377" s="49" t="s">
        <v>1</v>
      </c>
      <c r="BI377" s="1"/>
      <c r="BJ377" s="70" t="s">
        <v>1283</v>
      </c>
      <c r="BK377" s="57" t="s">
        <v>1283</v>
      </c>
      <c r="BL377" s="57" t="s">
        <v>1283</v>
      </c>
      <c r="BM377" s="57" t="s">
        <v>1283</v>
      </c>
      <c r="BN377" s="57" t="s">
        <v>1283</v>
      </c>
      <c r="BO377" s="57" t="s">
        <v>1283</v>
      </c>
      <c r="BP377" s="57" t="s">
        <v>1283</v>
      </c>
      <c r="BQ377" s="57" t="s">
        <v>1283</v>
      </c>
      <c r="BR377" s="57" t="s">
        <v>1283</v>
      </c>
      <c r="BS377" s="57" t="s">
        <v>1283</v>
      </c>
      <c r="BT377" s="57" t="s">
        <v>1283</v>
      </c>
      <c r="BU377" s="57" t="s">
        <v>1283</v>
      </c>
      <c r="BV377" s="70">
        <f>E377</f>
        <v>53</v>
      </c>
      <c r="BW377" s="71">
        <f>I377</f>
        <v>83</v>
      </c>
      <c r="BX377" s="72">
        <f>M377</f>
        <v>87</v>
      </c>
      <c r="BY377" s="71">
        <f>Q377</f>
        <v>119</v>
      </c>
      <c r="BZ377" s="72">
        <f>U377</f>
        <v>123</v>
      </c>
      <c r="CA377" s="71" t="str">
        <f>Y377</f>
        <v>-</v>
      </c>
      <c r="CB377" s="72">
        <f>AC377</f>
        <v>165</v>
      </c>
      <c r="CC377" s="71">
        <f>AG377</f>
        <v>210</v>
      </c>
      <c r="CD377" s="72">
        <f>AK377</f>
        <v>218</v>
      </c>
      <c r="CE377" s="71">
        <f>AO377</f>
        <v>294</v>
      </c>
      <c r="CF377" s="72">
        <f>AS377</f>
        <v>339</v>
      </c>
      <c r="CG377" s="71">
        <f>AW377</f>
        <v>368</v>
      </c>
      <c r="CH377" s="70">
        <f>G377</f>
        <v>82</v>
      </c>
      <c r="CI377" s="71">
        <f>K377</f>
        <v>86</v>
      </c>
      <c r="CJ377" s="72">
        <f>O377</f>
        <v>118</v>
      </c>
      <c r="CK377" s="72">
        <f>S377</f>
        <v>122</v>
      </c>
      <c r="CL377" s="72">
        <f>W377</f>
        <v>157</v>
      </c>
      <c r="CM377" s="72" t="str">
        <f>AA377</f>
        <v>-</v>
      </c>
      <c r="CN377" s="72">
        <f>AE377</f>
        <v>191</v>
      </c>
      <c r="CO377" s="72">
        <f>AI377</f>
        <v>212</v>
      </c>
      <c r="CP377" s="72">
        <f>AM377</f>
        <v>252</v>
      </c>
      <c r="CQ377" s="72">
        <f>AQ377</f>
        <v>330</v>
      </c>
      <c r="CR377" s="72">
        <f>AU377</f>
        <v>367</v>
      </c>
      <c r="CS377" s="72">
        <f>AY377</f>
        <v>384</v>
      </c>
      <c r="CT377" s="23">
        <f>M377-K377</f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30" x14ac:dyDescent="0.2">
      <c r="A378" s="3" t="str">
        <f>CONCATENATE(B378,"_",C378)</f>
        <v>ox2r_human_6TPJ</v>
      </c>
      <c r="B378" s="3" t="s">
        <v>1171</v>
      </c>
      <c r="C378" s="3" t="s">
        <v>1643</v>
      </c>
      <c r="D378" s="3" t="str">
        <f>IFERROR(MID(VLOOKUP($B378,Seqs!$A:$B,2,0),E378,1),"")</f>
        <v>Y</v>
      </c>
      <c r="E378" s="3">
        <v>53</v>
      </c>
      <c r="F378" s="3" t="str">
        <f>IFERROR(MID(VLOOKUP($B378,Seqs!$A:$B,2,0),G378,1),"")</f>
        <v>N</v>
      </c>
      <c r="G378" s="3">
        <v>82</v>
      </c>
      <c r="H378" s="3" t="str">
        <f>IFERROR(MID(VLOOKUP($B378,Seqs!$A:$B,2,0),I378,1),"")</f>
        <v>H</v>
      </c>
      <c r="I378" s="23">
        <v>83</v>
      </c>
      <c r="J378" s="3" t="str">
        <f>IFERROR(MID(VLOOKUP($B378,Seqs!$A:$B,2,0),K378,1),"")</f>
        <v>R</v>
      </c>
      <c r="K378" s="23">
        <v>86</v>
      </c>
      <c r="L378" s="3" t="str">
        <f>IFERROR(MID(VLOOKUP($B378,Seqs!$A:$B,2,0),M378,1),"")</f>
        <v>T</v>
      </c>
      <c r="M378" s="3">
        <v>87</v>
      </c>
      <c r="N378" s="3" t="str">
        <f>IFERROR(MID(VLOOKUP($B378,Seqs!$A:$B,2,0),O378,1),"")</f>
        <v>E</v>
      </c>
      <c r="O378" s="3">
        <v>118</v>
      </c>
      <c r="P378" s="3" t="str">
        <f>IFERROR(MID(VLOOKUP($B378,Seqs!$A:$B,2,0),Q378,1),"")</f>
        <v>T</v>
      </c>
      <c r="Q378" s="3">
        <v>119</v>
      </c>
      <c r="R378" s="3" t="str">
        <f>IFERROR(MID(VLOOKUP($B378,Seqs!$A:$B,2,0),S378,1),"")</f>
        <v>F</v>
      </c>
      <c r="S378" s="3">
        <v>122</v>
      </c>
      <c r="T378" s="3" t="str">
        <f>IFERROR(MID(VLOOKUP($B378,Seqs!$A:$B,2,0),U378,1),"")</f>
        <v>G</v>
      </c>
      <c r="U378" s="3">
        <v>123</v>
      </c>
      <c r="V378" s="3" t="str">
        <f>IFERROR(MID(VLOOKUP($B378,Seqs!$A:$B,2,0),W378,1),"")</f>
        <v>C</v>
      </c>
      <c r="W378" s="3">
        <v>157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T</v>
      </c>
      <c r="AC378" s="3">
        <v>165</v>
      </c>
      <c r="AD378" s="3" t="str">
        <f>IFERROR(MID(VLOOKUP($B378,Seqs!$A:$B,2,0),AE378,1),"")</f>
        <v>M</v>
      </c>
      <c r="AE378" s="3">
        <v>191</v>
      </c>
      <c r="AF378" s="3" t="str">
        <f>IFERROR(MID(VLOOKUP($B378,Seqs!$A:$B,2,0),AG378,1),"")</f>
        <v>C</v>
      </c>
      <c r="AG378" s="3">
        <v>210</v>
      </c>
      <c r="AH378" s="3" t="str">
        <f>IFERROR(MID(VLOOKUP($B378,Seqs!$A:$B,2,0),AI378,1),"")</f>
        <v>E</v>
      </c>
      <c r="AI378" s="3">
        <v>212</v>
      </c>
      <c r="AJ378" s="3" t="str">
        <f>IFERROR(MID(VLOOKUP($B378,Seqs!$A:$B,2,0),AK378,1),"")</f>
        <v>I</v>
      </c>
      <c r="AK378" s="3">
        <v>218</v>
      </c>
      <c r="AL378" s="3" t="str">
        <f>IFERROR(MID(VLOOKUP($B378,Seqs!$A:$B,2,0),AM378,1),"")</f>
        <v>C</v>
      </c>
      <c r="AM378" s="3">
        <v>252</v>
      </c>
      <c r="AN378" s="3" t="str">
        <f>IFERROR(MID(VLOOKUP($B378,Seqs!$A:$B,2,0),AO378,1),"")</f>
        <v>K</v>
      </c>
      <c r="AO378" s="3">
        <v>294</v>
      </c>
      <c r="AP378" s="3" t="str">
        <f>IFERROR(MID(VLOOKUP($B378,Seqs!$A:$B,2,0),AQ378,1),"")</f>
        <v>F</v>
      </c>
      <c r="AQ378" s="3">
        <v>330</v>
      </c>
      <c r="AR378" s="3" t="str">
        <f>IFERROR(MID(VLOOKUP($B378,Seqs!$A:$B,2,0),AS378,1),"")</f>
        <v>R</v>
      </c>
      <c r="AS378" s="3">
        <v>339</v>
      </c>
      <c r="AT378" s="3" t="str">
        <f>IFERROR(MID(VLOOKUP($B378,Seqs!$A:$B,2,0),AU378,1),"")</f>
        <v>L</v>
      </c>
      <c r="AU378" s="3">
        <v>367</v>
      </c>
      <c r="AV378" s="3" t="str">
        <f>IFERROR(MID(VLOOKUP($B378,Seqs!$A:$B,2,0),AW378,1),"")</f>
        <v>S</v>
      </c>
      <c r="AW378" s="3">
        <v>368</v>
      </c>
      <c r="AX378" s="3" t="str">
        <f>IFERROR(MID(VLOOKUP($B378,Seqs!$A:$B,2,0),AY378,1),"")</f>
        <v>L</v>
      </c>
      <c r="AY378" s="3">
        <v>384</v>
      </c>
      <c r="AZ378" s="77" t="str">
        <f>VLOOKUP(B378,Classification!A:D,2,0)</f>
        <v>A</v>
      </c>
      <c r="BA378" s="94" t="str">
        <f>VLOOKUP(B378,Classification!A:D,4,0)</f>
        <v>Orexin</v>
      </c>
      <c r="BB378" s="27" t="b">
        <f>AND(E378&lt;G378,OR(G378&lt;I378,I378="-"),OR(I378&lt;K378,I378="-"),OR(K378&lt;M378,K378="-"),M378&lt;O378,OR(O378&lt;Q378,Q378="-"),OR(Q378&lt;S378,Q378="-"),OR(S378&lt;U378,S378="-"),U378&lt;W378,OR(W378&lt;Y378,Y378="-"),OR(Y378&lt;AA378,Y378="-"),OR(AA378&lt;AC378,AA378="-"),AC378&lt;AE378,OR(AE378&lt;AG378,AG378="-"),OR(AG378&lt;AI378,AG378="-"),OR(AI378&lt;AK378,AI378="-"),AK378&lt;AM378,AM378&lt;AO378,AO378&lt;AQ378,AQ378&lt;AS378,AS378&lt;AU378,OR(AU378&lt;AW378,AW378="-"),OR(AW378&lt;AY378,AW378="-"))</f>
        <v>1</v>
      </c>
      <c r="BC378" s="23">
        <f>_xlfn.AGGREGATE(9,6,CH378:CS378)-_xlfn.AGGREGATE(9,6,BV378:CG378)+12</f>
        <v>254</v>
      </c>
      <c r="BD378" s="2" t="s">
        <v>23</v>
      </c>
      <c r="BE378" s="3" t="s">
        <v>1370</v>
      </c>
      <c r="BF378" s="118">
        <v>2.74</v>
      </c>
      <c r="BG378" s="49" t="s">
        <v>1</v>
      </c>
      <c r="BH378" s="49" t="s">
        <v>1</v>
      </c>
      <c r="BI378" s="1"/>
      <c r="BJ378" s="70" t="s">
        <v>1283</v>
      </c>
      <c r="BK378" s="57" t="s">
        <v>1283</v>
      </c>
      <c r="BL378" s="57" t="s">
        <v>1283</v>
      </c>
      <c r="BM378" s="57" t="s">
        <v>1283</v>
      </c>
      <c r="BN378" s="57" t="s">
        <v>1283</v>
      </c>
      <c r="BO378" s="57" t="s">
        <v>1283</v>
      </c>
      <c r="BP378" s="57" t="s">
        <v>1283</v>
      </c>
      <c r="BQ378" s="57" t="s">
        <v>1283</v>
      </c>
      <c r="BR378" s="57" t="s">
        <v>1283</v>
      </c>
      <c r="BS378" s="57" t="s">
        <v>1283</v>
      </c>
      <c r="BT378" s="57" t="s">
        <v>1283</v>
      </c>
      <c r="BU378" s="57" t="s">
        <v>1283</v>
      </c>
      <c r="BV378" s="70">
        <f>E378</f>
        <v>53</v>
      </c>
      <c r="BW378" s="71">
        <f>I378</f>
        <v>83</v>
      </c>
      <c r="BX378" s="72">
        <f>M378</f>
        <v>87</v>
      </c>
      <c r="BY378" s="71">
        <f>Q378</f>
        <v>119</v>
      </c>
      <c r="BZ378" s="72">
        <f>U378</f>
        <v>123</v>
      </c>
      <c r="CA378" s="71" t="str">
        <f>Y378</f>
        <v>-</v>
      </c>
      <c r="CB378" s="72">
        <f>AC378</f>
        <v>165</v>
      </c>
      <c r="CC378" s="71">
        <f>AG378</f>
        <v>210</v>
      </c>
      <c r="CD378" s="72">
        <f>AK378</f>
        <v>218</v>
      </c>
      <c r="CE378" s="71">
        <f>AO378</f>
        <v>294</v>
      </c>
      <c r="CF378" s="72">
        <f>AS378</f>
        <v>339</v>
      </c>
      <c r="CG378" s="71">
        <f>AW378</f>
        <v>368</v>
      </c>
      <c r="CH378" s="70">
        <f>G378</f>
        <v>82</v>
      </c>
      <c r="CI378" s="71">
        <f>K378</f>
        <v>86</v>
      </c>
      <c r="CJ378" s="72">
        <f>O378</f>
        <v>118</v>
      </c>
      <c r="CK378" s="72">
        <f>S378</f>
        <v>122</v>
      </c>
      <c r="CL378" s="72">
        <f>W378</f>
        <v>157</v>
      </c>
      <c r="CM378" s="72" t="str">
        <f>AA378</f>
        <v>-</v>
      </c>
      <c r="CN378" s="72">
        <f>AE378</f>
        <v>191</v>
      </c>
      <c r="CO378" s="72">
        <f>AI378</f>
        <v>212</v>
      </c>
      <c r="CP378" s="72">
        <f>AM378</f>
        <v>252</v>
      </c>
      <c r="CQ378" s="72">
        <f>AQ378</f>
        <v>330</v>
      </c>
      <c r="CR378" s="72">
        <f>AU378</f>
        <v>367</v>
      </c>
      <c r="CS378" s="72">
        <f>AY378</f>
        <v>384</v>
      </c>
      <c r="CT378" s="23">
        <f>M378-K378</f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30" x14ac:dyDescent="0.2">
      <c r="A379" s="3" t="str">
        <f>CONCATENATE(B379,"_",C379)</f>
        <v>ox2r_human_6TPN</v>
      </c>
      <c r="B379" s="3" t="s">
        <v>1171</v>
      </c>
      <c r="C379" s="3" t="s">
        <v>1620</v>
      </c>
      <c r="D379" s="3" t="str">
        <f>IFERROR(MID(VLOOKUP($B379,Seqs!$A:$B,2,0),E379,1),"")</f>
        <v>Y</v>
      </c>
      <c r="E379" s="3">
        <v>53</v>
      </c>
      <c r="F379" s="3" t="str">
        <f>IFERROR(MID(VLOOKUP($B379,Seqs!$A:$B,2,0),G379,1),"")</f>
        <v>N</v>
      </c>
      <c r="G379" s="3">
        <v>82</v>
      </c>
      <c r="H379" s="3" t="str">
        <f>IFERROR(MID(VLOOKUP($B379,Seqs!$A:$B,2,0),I379,1),"")</f>
        <v>H</v>
      </c>
      <c r="I379" s="23">
        <v>83</v>
      </c>
      <c r="J379" s="3" t="str">
        <f>IFERROR(MID(VLOOKUP($B379,Seqs!$A:$B,2,0),K379,1),"")</f>
        <v>R</v>
      </c>
      <c r="K379" s="23">
        <v>86</v>
      </c>
      <c r="L379" s="3" t="str">
        <f>IFERROR(MID(VLOOKUP($B379,Seqs!$A:$B,2,0),M379,1),"")</f>
        <v>T</v>
      </c>
      <c r="M379" s="3">
        <v>87</v>
      </c>
      <c r="N379" s="3" t="str">
        <f>IFERROR(MID(VLOOKUP($B379,Seqs!$A:$B,2,0),O379,1),"")</f>
        <v>E</v>
      </c>
      <c r="O379" s="3">
        <v>118</v>
      </c>
      <c r="P379" s="3" t="str">
        <f>IFERROR(MID(VLOOKUP($B379,Seqs!$A:$B,2,0),Q379,1),"")</f>
        <v>T</v>
      </c>
      <c r="Q379" s="3">
        <v>119</v>
      </c>
      <c r="R379" s="3" t="str">
        <f>IFERROR(MID(VLOOKUP($B379,Seqs!$A:$B,2,0),S379,1),"")</f>
        <v>F</v>
      </c>
      <c r="S379" s="3">
        <v>122</v>
      </c>
      <c r="T379" s="3" t="str">
        <f>IFERROR(MID(VLOOKUP($B379,Seqs!$A:$B,2,0),U379,1),"")</f>
        <v>G</v>
      </c>
      <c r="U379" s="3">
        <v>123</v>
      </c>
      <c r="V379" s="3" t="str">
        <f>IFERROR(MID(VLOOKUP($B379,Seqs!$A:$B,2,0),W379,1),"")</f>
        <v>C</v>
      </c>
      <c r="W379" s="3">
        <v>157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T</v>
      </c>
      <c r="AC379" s="3">
        <v>165</v>
      </c>
      <c r="AD379" s="3" t="str">
        <f>IFERROR(MID(VLOOKUP($B379,Seqs!$A:$B,2,0),AE379,1),"")</f>
        <v>M</v>
      </c>
      <c r="AE379" s="3">
        <v>191</v>
      </c>
      <c r="AF379" s="3" t="str">
        <f>IFERROR(MID(VLOOKUP($B379,Seqs!$A:$B,2,0),AG379,1),"")</f>
        <v>C</v>
      </c>
      <c r="AG379" s="3">
        <v>210</v>
      </c>
      <c r="AH379" s="3" t="str">
        <f>IFERROR(MID(VLOOKUP($B379,Seqs!$A:$B,2,0),AI379,1),"")</f>
        <v>E</v>
      </c>
      <c r="AI379" s="3">
        <v>212</v>
      </c>
      <c r="AJ379" s="3" t="str">
        <f>IFERROR(MID(VLOOKUP($B379,Seqs!$A:$B,2,0),AK379,1),"")</f>
        <v>I</v>
      </c>
      <c r="AK379" s="3">
        <v>218</v>
      </c>
      <c r="AL379" s="3" t="str">
        <f>IFERROR(MID(VLOOKUP($B379,Seqs!$A:$B,2,0),AM379,1),"")</f>
        <v>C</v>
      </c>
      <c r="AM379" s="3">
        <v>252</v>
      </c>
      <c r="AN379" s="3" t="str">
        <f>IFERROR(MID(VLOOKUP($B379,Seqs!$A:$B,2,0),AO379,1),"")</f>
        <v>K</v>
      </c>
      <c r="AO379" s="3">
        <v>294</v>
      </c>
      <c r="AP379" s="3" t="str">
        <f>IFERROR(MID(VLOOKUP($B379,Seqs!$A:$B,2,0),AQ379,1),"")</f>
        <v>F</v>
      </c>
      <c r="AQ379" s="3">
        <v>330</v>
      </c>
      <c r="AR379" s="3" t="str">
        <f>IFERROR(MID(VLOOKUP($B379,Seqs!$A:$B,2,0),AS379,1),"")</f>
        <v>R</v>
      </c>
      <c r="AS379" s="3">
        <v>339</v>
      </c>
      <c r="AT379" s="3" t="str">
        <f>IFERROR(MID(VLOOKUP($B379,Seqs!$A:$B,2,0),AU379,1),"")</f>
        <v>L</v>
      </c>
      <c r="AU379" s="3">
        <v>367</v>
      </c>
      <c r="AV379" s="3" t="str">
        <f>IFERROR(MID(VLOOKUP($B379,Seqs!$A:$B,2,0),AW379,1),"")</f>
        <v>S</v>
      </c>
      <c r="AW379" s="3">
        <v>368</v>
      </c>
      <c r="AX379" s="3" t="str">
        <f>IFERROR(MID(VLOOKUP($B379,Seqs!$A:$B,2,0),AY379,1),"")</f>
        <v>L</v>
      </c>
      <c r="AY379" s="3">
        <v>384</v>
      </c>
      <c r="AZ379" s="77" t="str">
        <f>VLOOKUP(B379,Classification!A:D,2,0)</f>
        <v>A</v>
      </c>
      <c r="BA379" s="94" t="str">
        <f>VLOOKUP(B379,Classification!A:D,4,0)</f>
        <v>Orexin</v>
      </c>
      <c r="BB379" s="27" t="b">
        <f>AND(E379&lt;G379,OR(G379&lt;I379,I379="-"),OR(I379&lt;K379,I379="-"),OR(K379&lt;M379,K379="-"),M379&lt;O379,OR(O379&lt;Q379,Q379="-"),OR(Q379&lt;S379,Q379="-"),OR(S379&lt;U379,S379="-"),U379&lt;W379,OR(W379&lt;Y379,Y379="-"),OR(Y379&lt;AA379,Y379="-"),OR(AA379&lt;AC379,AA379="-"),AC379&lt;AE379,OR(AE379&lt;AG379,AG379="-"),OR(AG379&lt;AI379,AG379="-"),OR(AI379&lt;AK379,AI379="-"),AK379&lt;AM379,AM379&lt;AO379,AO379&lt;AQ379,AQ379&lt;AS379,AS379&lt;AU379,OR(AU379&lt;AW379,AW379="-"),OR(AW379&lt;AY379,AW379="-"))</f>
        <v>1</v>
      </c>
      <c r="BC379" s="23">
        <f>_xlfn.AGGREGATE(9,6,CH379:CS379)-_xlfn.AGGREGATE(9,6,BV379:CG379)+12</f>
        <v>254</v>
      </c>
      <c r="BD379" s="2" t="s">
        <v>23</v>
      </c>
      <c r="BE379" s="3" t="s">
        <v>1370</v>
      </c>
      <c r="BF379" s="118">
        <v>2.61</v>
      </c>
      <c r="BG379" s="49" t="s">
        <v>1</v>
      </c>
      <c r="BH379" s="49" t="s">
        <v>1</v>
      </c>
      <c r="BI379" s="1"/>
      <c r="BJ379" s="70" t="s">
        <v>1283</v>
      </c>
      <c r="BK379" s="57" t="s">
        <v>1283</v>
      </c>
      <c r="BL379" s="57" t="s">
        <v>1283</v>
      </c>
      <c r="BM379" s="57" t="s">
        <v>1283</v>
      </c>
      <c r="BN379" s="57" t="s">
        <v>1283</v>
      </c>
      <c r="BO379" s="57" t="s">
        <v>1283</v>
      </c>
      <c r="BP379" s="57" t="s">
        <v>1283</v>
      </c>
      <c r="BQ379" s="57" t="s">
        <v>1283</v>
      </c>
      <c r="BR379" s="57" t="s">
        <v>1283</v>
      </c>
      <c r="BS379" s="57" t="s">
        <v>1283</v>
      </c>
      <c r="BT379" s="57" t="s">
        <v>1283</v>
      </c>
      <c r="BU379" s="57" t="s">
        <v>1283</v>
      </c>
      <c r="BV379" s="70">
        <f>E379</f>
        <v>53</v>
      </c>
      <c r="BW379" s="71">
        <f>I379</f>
        <v>83</v>
      </c>
      <c r="BX379" s="72">
        <f>M379</f>
        <v>87</v>
      </c>
      <c r="BY379" s="71">
        <f>Q379</f>
        <v>119</v>
      </c>
      <c r="BZ379" s="72">
        <f>U379</f>
        <v>123</v>
      </c>
      <c r="CA379" s="71" t="str">
        <f>Y379</f>
        <v>-</v>
      </c>
      <c r="CB379" s="72">
        <f>AC379</f>
        <v>165</v>
      </c>
      <c r="CC379" s="71">
        <f>AG379</f>
        <v>210</v>
      </c>
      <c r="CD379" s="72">
        <f>AK379</f>
        <v>218</v>
      </c>
      <c r="CE379" s="71">
        <f>AO379</f>
        <v>294</v>
      </c>
      <c r="CF379" s="72">
        <f>AS379</f>
        <v>339</v>
      </c>
      <c r="CG379" s="71">
        <f>AW379</f>
        <v>368</v>
      </c>
      <c r="CH379" s="70">
        <f>G379</f>
        <v>82</v>
      </c>
      <c r="CI379" s="71">
        <f>K379</f>
        <v>86</v>
      </c>
      <c r="CJ379" s="72">
        <f>O379</f>
        <v>118</v>
      </c>
      <c r="CK379" s="72">
        <f>S379</f>
        <v>122</v>
      </c>
      <c r="CL379" s="72">
        <f>W379</f>
        <v>157</v>
      </c>
      <c r="CM379" s="72" t="str">
        <f>AA379</f>
        <v>-</v>
      </c>
      <c r="CN379" s="72">
        <f>AE379</f>
        <v>191</v>
      </c>
      <c r="CO379" s="72">
        <f>AI379</f>
        <v>212</v>
      </c>
      <c r="CP379" s="72">
        <f>AM379</f>
        <v>252</v>
      </c>
      <c r="CQ379" s="72">
        <f>AQ379</f>
        <v>330</v>
      </c>
      <c r="CR379" s="72">
        <f>AU379</f>
        <v>367</v>
      </c>
      <c r="CS379" s="72">
        <f>AY379</f>
        <v>384</v>
      </c>
      <c r="CT379" s="23">
        <f>M379-K379</f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30" s="12" customFormat="1" x14ac:dyDescent="0.2">
      <c r="A380" s="9" t="str">
        <f t="shared" ref="A380:A381" si="3578">CONCATENATE(B380,"_",C380)</f>
        <v>oxyr_human__wt</v>
      </c>
      <c r="B380" s="9" t="s">
        <v>343</v>
      </c>
      <c r="C380" s="9" t="s">
        <v>100</v>
      </c>
      <c r="D380" s="9" t="str">
        <f>IFERROR(MID(VLOOKUP($B380,Seqs!$A:$B,2,0),E380,1),"")</f>
        <v>N</v>
      </c>
      <c r="E380" s="9">
        <v>35</v>
      </c>
      <c r="F380" s="9" t="str">
        <f>IFERROR(MID(VLOOKUP($B380,Seqs!$A:$B,2,0),G380,1),"")</f>
        <v>T</v>
      </c>
      <c r="G380" s="9">
        <v>67</v>
      </c>
      <c r="H380" s="9" t="str">
        <f>IFERROR(MID(VLOOKUP($B380,Seqs!$A:$B,2,0),I380,1),"")</f>
        <v>R</v>
      </c>
      <c r="I380" s="109">
        <v>68</v>
      </c>
      <c r="J380" s="9" t="str">
        <f>IFERROR(MID(VLOOKUP($B380,Seqs!$A:$B,2,0),K380,1),"")</f>
        <v>H</v>
      </c>
      <c r="K380" s="109">
        <v>71</v>
      </c>
      <c r="L380" s="9" t="str">
        <f>IFERROR(MID(VLOOKUP($B380,Seqs!$A:$B,2,0),M380,1),"")</f>
        <v>S</v>
      </c>
      <c r="M380" s="9">
        <v>72</v>
      </c>
      <c r="N380" s="9" t="str">
        <f>IFERROR(MID(VLOOKUP($B380,Seqs!$A:$B,2,0),O380,1),"")</f>
        <v>T</v>
      </c>
      <c r="O380" s="9">
        <v>102</v>
      </c>
      <c r="P380" s="9" t="str">
        <f>IFERROR(MID(VLOOKUP($B380,Seqs!$A:$B,2,0),Q380,1),"")</f>
        <v>R</v>
      </c>
      <c r="Q380" s="9">
        <v>104</v>
      </c>
      <c r="R380" s="9" t="str">
        <f>IFERROR(MID(VLOOKUP($B380,Seqs!$A:$B,2,0),S380,1),"")</f>
        <v>G</v>
      </c>
      <c r="S380" s="9">
        <v>107</v>
      </c>
      <c r="T380" s="9" t="str">
        <f>IFERROR(MID(VLOOKUP($B380,Seqs!$A:$B,2,0),U380,1),"")</f>
        <v>P</v>
      </c>
      <c r="U380" s="9">
        <v>108</v>
      </c>
      <c r="V380" s="9" t="str">
        <f>IFERROR(MID(VLOOKUP($B380,Seqs!$A:$B,2,0),W380,1),"")</f>
        <v>Q</v>
      </c>
      <c r="W380" s="9">
        <v>143</v>
      </c>
      <c r="X380" s="9" t="str">
        <f>IFERROR(MID(VLOOKUP($B380,Seqs!$A:$B,2,0),Y380,1),"")</f>
        <v/>
      </c>
      <c r="Y380" s="9" t="s">
        <v>23</v>
      </c>
      <c r="Z380" s="9" t="str">
        <f>IFERROR(MID(VLOOKUP($B380,Seqs!$A:$B,2,0),AA380,1),"")</f>
        <v/>
      </c>
      <c r="AA380" s="9" t="s">
        <v>23</v>
      </c>
      <c r="AB380" s="9" t="str">
        <f>IFERROR(MID(VLOOKUP($B380,Seqs!$A:$B,2,0),AC380,1),"")</f>
        <v>R</v>
      </c>
      <c r="AC380" s="9">
        <v>149</v>
      </c>
      <c r="AD380" s="9" t="str">
        <f>IFERROR(MID(VLOOKUP($B380,Seqs!$A:$B,2,0),AE380,1),"")</f>
        <v>F</v>
      </c>
      <c r="AE380" s="9">
        <v>175</v>
      </c>
      <c r="AF380" s="9" t="str">
        <f>IFERROR(MID(VLOOKUP($B380,Seqs!$A:$B,2,0),AG380,1),"")</f>
        <v>C</v>
      </c>
      <c r="AG380" s="9">
        <v>187</v>
      </c>
      <c r="AH380" s="9" t="str">
        <f>IFERROR(MID(VLOOKUP($B380,Seqs!$A:$B,2,0),AI380,1),"")</f>
        <v>A</v>
      </c>
      <c r="AI380" s="9">
        <v>189</v>
      </c>
      <c r="AJ380" s="9" t="str">
        <f>IFERROR(MID(VLOOKUP($B380,Seqs!$A:$B,2,0),AK380,1),"")</f>
        <v>W</v>
      </c>
      <c r="AK380" s="9">
        <v>195</v>
      </c>
      <c r="AL380" s="9" t="str">
        <f>IFERROR(MID(VLOOKUP($B380,Seqs!$A:$B,2,0),AM380,1),"")</f>
        <v>A</v>
      </c>
      <c r="AM380" s="9">
        <v>238</v>
      </c>
      <c r="AN380" s="9" t="str">
        <f>IFERROR(MID(VLOOKUP($B380,Seqs!$A:$B,2,0),AO380,1),"")</f>
        <v>K</v>
      </c>
      <c r="AO380" s="9">
        <v>264</v>
      </c>
      <c r="AP380" s="9" t="str">
        <f>IFERROR(MID(VLOOKUP($B380,Seqs!$A:$B,2,0),AQ380,1),"")</f>
        <v>W</v>
      </c>
      <c r="AQ380" s="9">
        <v>300</v>
      </c>
      <c r="AR380" s="9" t="str">
        <f>IFERROR(MID(VLOOKUP($B380,Seqs!$A:$B,2,0),AS380,1),"")</f>
        <v>K</v>
      </c>
      <c r="AS380" s="9">
        <v>306</v>
      </c>
      <c r="AT380" s="9" t="str">
        <f>IFERROR(MID(VLOOKUP($B380,Seqs!$A:$B,2,0),AU380,1),"")</f>
        <v>F</v>
      </c>
      <c r="AU380" s="9">
        <v>332</v>
      </c>
      <c r="AV380" s="9" t="str">
        <f>IFERROR(MID(VLOOKUP($B380,Seqs!$A:$B,2,0),AW380,1),"")</f>
        <v>T</v>
      </c>
      <c r="AW380" s="9">
        <v>333</v>
      </c>
      <c r="AX380" s="9" t="str">
        <f>IFERROR(MID(VLOOKUP($B380,Seqs!$A:$B,2,0),AY380,1),"")</f>
        <v>A</v>
      </c>
      <c r="AY380" s="9">
        <v>349</v>
      </c>
      <c r="AZ380" s="110" t="str">
        <f>VLOOKUP(B380,Classification!A:D,2,0)</f>
        <v>A</v>
      </c>
      <c r="BA380" s="98" t="str">
        <f>VLOOKUP(B380,Classification!A:D,4,0)</f>
        <v>Vasopressinandoxytocin</v>
      </c>
      <c r="BB380" s="36" t="b">
        <f t="shared" ref="BB380:BB381" si="3579">AND(E380&lt;G380,OR(G380&lt;I380,I380="-"),OR(I380&lt;K380,I380="-"),OR(K380&lt;M380,K380="-"),M380&lt;O380,OR(O380&lt;Q380,Q380="-"),OR(Q380&lt;S380,Q380="-"),OR(S380&lt;U380,S380="-"),U380&lt;W380,OR(W380&lt;Y380,Y380="-"),OR(Y380&lt;AA380,Y380="-"),OR(AA380&lt;AC380,AA380="-"),AC380&lt;AE380,OR(AE380&lt;AG380,AG380="-"),OR(AG380&lt;AI380,AG380="-"),OR(AI380&lt;AK380,AI380="-"),AK380&lt;AM380,AM380&lt;AO380,AO380&lt;AQ380,AQ380&lt;AS380,AS380&lt;AU380,OR(AU380&lt;AW380,AW380="-"),OR(AW380&lt;AY380,AW380="-"))</f>
        <v>1</v>
      </c>
      <c r="BC380" s="109">
        <f t="shared" ref="BC380:BC381" si="3580">_xlfn.AGGREGATE(9,6,CH380:CS380)-_xlfn.AGGREGATE(9,6,BV380:CG380)+12</f>
        <v>264</v>
      </c>
      <c r="BD380" s="40" t="s">
        <v>23</v>
      </c>
      <c r="BE380" s="9" t="s">
        <v>23</v>
      </c>
      <c r="BF380" s="119" t="s">
        <v>23</v>
      </c>
      <c r="BG380" s="51" t="s">
        <v>23</v>
      </c>
      <c r="BH380" s="51" t="s">
        <v>23</v>
      </c>
      <c r="BJ380" s="111" t="s">
        <v>1283</v>
      </c>
      <c r="BK380" s="112" t="s">
        <v>1283</v>
      </c>
      <c r="BL380" s="112" t="s">
        <v>1283</v>
      </c>
      <c r="BM380" s="112" t="s">
        <v>1283</v>
      </c>
      <c r="BN380" s="112" t="s">
        <v>1283</v>
      </c>
      <c r="BO380" s="112" t="s">
        <v>1283</v>
      </c>
      <c r="BP380" s="112" t="s">
        <v>1283</v>
      </c>
      <c r="BQ380" s="112" t="s">
        <v>1283</v>
      </c>
      <c r="BR380" s="112" t="s">
        <v>1283</v>
      </c>
      <c r="BS380" s="112" t="s">
        <v>1283</v>
      </c>
      <c r="BT380" s="112" t="s">
        <v>1283</v>
      </c>
      <c r="BU380" s="112" t="s">
        <v>1283</v>
      </c>
      <c r="BV380" s="111">
        <f t="shared" ref="BV380:BV381" si="3581">E380</f>
        <v>35</v>
      </c>
      <c r="BW380" s="113">
        <f t="shared" ref="BW380:BW381" si="3582">I380</f>
        <v>68</v>
      </c>
      <c r="BX380" s="114">
        <f t="shared" ref="BX380:BX381" si="3583">M380</f>
        <v>72</v>
      </c>
      <c r="BY380" s="113">
        <f t="shared" ref="BY380:BY381" si="3584">Q380</f>
        <v>104</v>
      </c>
      <c r="BZ380" s="114">
        <f t="shared" ref="BZ380:BZ381" si="3585">U380</f>
        <v>108</v>
      </c>
      <c r="CA380" s="113" t="str">
        <f t="shared" ref="CA380:CA381" si="3586">Y380</f>
        <v>-</v>
      </c>
      <c r="CB380" s="114">
        <f t="shared" ref="CB380:CB381" si="3587">AC380</f>
        <v>149</v>
      </c>
      <c r="CC380" s="113">
        <f t="shared" ref="CC380:CC381" si="3588">AG380</f>
        <v>187</v>
      </c>
      <c r="CD380" s="114">
        <f t="shared" ref="CD380:CD381" si="3589">AK380</f>
        <v>195</v>
      </c>
      <c r="CE380" s="113">
        <f t="shared" ref="CE380:CE381" si="3590">AO380</f>
        <v>264</v>
      </c>
      <c r="CF380" s="114">
        <f t="shared" ref="CF380:CF381" si="3591">AS380</f>
        <v>306</v>
      </c>
      <c r="CG380" s="113">
        <f t="shared" ref="CG380:CG381" si="3592">AW380</f>
        <v>333</v>
      </c>
      <c r="CH380" s="111">
        <f t="shared" ref="CH380:CH381" si="3593">G380</f>
        <v>67</v>
      </c>
      <c r="CI380" s="113">
        <f t="shared" ref="CI380:CI381" si="3594">K380</f>
        <v>71</v>
      </c>
      <c r="CJ380" s="114">
        <f t="shared" ref="CJ380:CJ381" si="3595">O380</f>
        <v>102</v>
      </c>
      <c r="CK380" s="114">
        <f t="shared" ref="CK380:CK381" si="3596">S380</f>
        <v>107</v>
      </c>
      <c r="CL380" s="114">
        <f t="shared" ref="CL380:CL381" si="3597">W380</f>
        <v>143</v>
      </c>
      <c r="CM380" s="114" t="str">
        <f t="shared" ref="CM380:CM381" si="3598">AA380</f>
        <v>-</v>
      </c>
      <c r="CN380" s="114">
        <f t="shared" ref="CN380:CN381" si="3599">AE380</f>
        <v>175</v>
      </c>
      <c r="CO380" s="114">
        <f t="shared" ref="CO380:CO381" si="3600">AI380</f>
        <v>189</v>
      </c>
      <c r="CP380" s="114">
        <f t="shared" ref="CP380:CP381" si="3601">AM380</f>
        <v>238</v>
      </c>
      <c r="CQ380" s="114">
        <f t="shared" ref="CQ380:CQ381" si="3602">AQ380</f>
        <v>300</v>
      </c>
      <c r="CR380" s="114">
        <f t="shared" ref="CR380:CR381" si="3603">AU380</f>
        <v>332</v>
      </c>
      <c r="CS380" s="114">
        <f t="shared" ref="CS380:CS381" si="3604">AY380</f>
        <v>349</v>
      </c>
      <c r="CT380" s="109">
        <f t="shared" ref="CT380:CT381" si="3605">M380-K380</f>
        <v>1</v>
      </c>
    </row>
    <row r="381" spans="1:1030" s="12" customFormat="1" x14ac:dyDescent="0.2">
      <c r="A381" s="9" t="str">
        <f t="shared" si="3578"/>
        <v>oxyr_human_6TPK</v>
      </c>
      <c r="B381" s="9" t="s">
        <v>343</v>
      </c>
      <c r="C381" s="9" t="s">
        <v>1699</v>
      </c>
      <c r="D381" s="9" t="str">
        <f>IFERROR(MID(VLOOKUP($B381,Seqs!$A:$B,2,0),E381,1),"")</f>
        <v>N</v>
      </c>
      <c r="E381" s="9">
        <v>35</v>
      </c>
      <c r="F381" s="9" t="str">
        <f>IFERROR(MID(VLOOKUP($B381,Seqs!$A:$B,2,0),G381,1),"")</f>
        <v>R</v>
      </c>
      <c r="G381" s="9">
        <v>65</v>
      </c>
      <c r="H381" s="9" t="str">
        <f>IFERROR(MID(VLOOKUP($B381,Seqs!$A:$B,2,0),I381,1),"")</f>
        <v/>
      </c>
      <c r="I381" s="109" t="s">
        <v>23</v>
      </c>
      <c r="J381" s="9" t="str">
        <f>IFERROR(MID(VLOOKUP($B381,Seqs!$A:$B,2,0),K381,1),"")</f>
        <v/>
      </c>
      <c r="K381" s="109" t="s">
        <v>23</v>
      </c>
      <c r="L381" s="9" t="str">
        <f>IFERROR(MID(VLOOKUP($B381,Seqs!$A:$B,2,0),M381,1),"")</f>
        <v>R</v>
      </c>
      <c r="M381" s="9">
        <v>73</v>
      </c>
      <c r="N381" s="9" t="str">
        <f>IFERROR(MID(VLOOKUP($B381,Seqs!$A:$B,2,0),O381,1),"")</f>
        <v>T</v>
      </c>
      <c r="O381" s="9">
        <v>102</v>
      </c>
      <c r="P381" s="9" t="str">
        <f>IFERROR(MID(VLOOKUP($B381,Seqs!$A:$B,2,0),Q381,1),"")</f>
        <v>R</v>
      </c>
      <c r="Q381" s="9">
        <v>104</v>
      </c>
      <c r="R381" s="9" t="str">
        <f>IFERROR(MID(VLOOKUP($B381,Seqs!$A:$B,2,0),S381,1),"")</f>
        <v>G</v>
      </c>
      <c r="S381" s="9">
        <v>107</v>
      </c>
      <c r="T381" s="9" t="str">
        <f>IFERROR(MID(VLOOKUP($B381,Seqs!$A:$B,2,0),U381,1),"")</f>
        <v>P</v>
      </c>
      <c r="U381" s="9">
        <v>108</v>
      </c>
      <c r="V381" s="9" t="str">
        <f>IFERROR(MID(VLOOKUP($B381,Seqs!$A:$B,2,0),W381,1),"")</f>
        <v>Q</v>
      </c>
      <c r="W381" s="9">
        <v>143</v>
      </c>
      <c r="X381" s="9" t="str">
        <f>IFERROR(MID(VLOOKUP($B381,Seqs!$A:$B,2,0),Y381,1),"")</f>
        <v/>
      </c>
      <c r="Y381" s="9" t="s">
        <v>23</v>
      </c>
      <c r="Z381" s="9" t="str">
        <f>IFERROR(MID(VLOOKUP($B381,Seqs!$A:$B,2,0),AA381,1),"")</f>
        <v/>
      </c>
      <c r="AA381" s="9" t="s">
        <v>23</v>
      </c>
      <c r="AB381" s="9" t="str">
        <f>IFERROR(MID(VLOOKUP($B381,Seqs!$A:$B,2,0),AC381,1),"")</f>
        <v>R</v>
      </c>
      <c r="AC381" s="9">
        <v>149</v>
      </c>
      <c r="AD381" s="9" t="str">
        <f>IFERROR(MID(VLOOKUP($B381,Seqs!$A:$B,2,0),AE381,1),"")</f>
        <v>F</v>
      </c>
      <c r="AE381" s="9">
        <v>175</v>
      </c>
      <c r="AF381" s="9" t="str">
        <f>IFERROR(MID(VLOOKUP($B381,Seqs!$A:$B,2,0),AG381,1),"")</f>
        <v>C</v>
      </c>
      <c r="AG381" s="9">
        <v>187</v>
      </c>
      <c r="AH381" s="9" t="str">
        <f>IFERROR(MID(VLOOKUP($B381,Seqs!$A:$B,2,0),AI381,1),"")</f>
        <v>A</v>
      </c>
      <c r="AI381" s="9">
        <v>189</v>
      </c>
      <c r="AJ381" s="9" t="str">
        <f>IFERROR(MID(VLOOKUP($B381,Seqs!$A:$B,2,0),AK381,1),"")</f>
        <v>W</v>
      </c>
      <c r="AK381" s="9">
        <v>195</v>
      </c>
      <c r="AL381" s="9" t="str">
        <f>IFERROR(MID(VLOOKUP($B381,Seqs!$A:$B,2,0),AM381,1),"")</f>
        <v>Q</v>
      </c>
      <c r="AM381" s="9">
        <v>229</v>
      </c>
      <c r="AN381" s="9" t="str">
        <f>IFERROR(MID(VLOOKUP($B381,Seqs!$A:$B,2,0),AO381,1),"")</f>
        <v>S</v>
      </c>
      <c r="AO381" s="9">
        <v>267</v>
      </c>
      <c r="AP381" s="9" t="str">
        <f>IFERROR(MID(VLOOKUP($B381,Seqs!$A:$B,2,0),AQ381,1),"")</f>
        <v>W</v>
      </c>
      <c r="AQ381" s="9">
        <v>300</v>
      </c>
      <c r="AR381" s="9" t="str">
        <f>IFERROR(MID(VLOOKUP($B381,Seqs!$A:$B,2,0),AS381,1),"")</f>
        <v>K</v>
      </c>
      <c r="AS381" s="9">
        <v>306</v>
      </c>
      <c r="AT381" s="9" t="str">
        <f>IFERROR(MID(VLOOKUP($B381,Seqs!$A:$B,2,0),AU381,1),"")</f>
        <v>T</v>
      </c>
      <c r="AU381" s="9">
        <v>333</v>
      </c>
      <c r="AV381" s="9" t="str">
        <f>IFERROR(MID(VLOOKUP($B381,Seqs!$A:$B,2,0),AW381,1),"")</f>
        <v/>
      </c>
      <c r="AW381" s="9" t="s">
        <v>23</v>
      </c>
      <c r="AX381" s="9" t="str">
        <f>IFERROR(MID(VLOOKUP($B381,Seqs!$A:$B,2,0),AY381,1),"")</f>
        <v/>
      </c>
      <c r="AY381" s="9" t="s">
        <v>23</v>
      </c>
      <c r="AZ381" s="110" t="str">
        <f>VLOOKUP(B381,Classification!A:D,2,0)</f>
        <v>A</v>
      </c>
      <c r="BA381" s="98" t="str">
        <f>VLOOKUP(B381,Classification!A:D,4,0)</f>
        <v>Vasopressinandoxytocin</v>
      </c>
      <c r="BB381" s="36" t="b">
        <f t="shared" si="3579"/>
        <v>1</v>
      </c>
      <c r="BC381" s="109">
        <f t="shared" si="3580"/>
        <v>231</v>
      </c>
      <c r="BD381" s="40" t="s">
        <v>1372</v>
      </c>
      <c r="BE381" s="9" t="s">
        <v>1370</v>
      </c>
      <c r="BF381" s="119">
        <v>3.2</v>
      </c>
      <c r="BG381" s="51" t="s">
        <v>1</v>
      </c>
      <c r="BH381" s="51" t="s">
        <v>1</v>
      </c>
      <c r="BJ381" s="111" t="s">
        <v>1283</v>
      </c>
      <c r="BK381" s="112" t="s">
        <v>1283</v>
      </c>
      <c r="BL381" s="112" t="s">
        <v>1283</v>
      </c>
      <c r="BM381" s="112" t="s">
        <v>1283</v>
      </c>
      <c r="BN381" s="112" t="s">
        <v>1283</v>
      </c>
      <c r="BO381" s="112" t="s">
        <v>1283</v>
      </c>
      <c r="BP381" s="112" t="s">
        <v>1283</v>
      </c>
      <c r="BQ381" s="112" t="s">
        <v>1283</v>
      </c>
      <c r="BR381" s="112" t="s">
        <v>1283</v>
      </c>
      <c r="BS381" s="112" t="s">
        <v>1283</v>
      </c>
      <c r="BT381" s="112" t="s">
        <v>1283</v>
      </c>
      <c r="BU381" s="112" t="s">
        <v>1283</v>
      </c>
      <c r="BV381" s="111">
        <f t="shared" si="3581"/>
        <v>35</v>
      </c>
      <c r="BW381" s="113" t="str">
        <f t="shared" si="3582"/>
        <v>-</v>
      </c>
      <c r="BX381" s="114">
        <f t="shared" si="3583"/>
        <v>73</v>
      </c>
      <c r="BY381" s="113">
        <f t="shared" si="3584"/>
        <v>104</v>
      </c>
      <c r="BZ381" s="114">
        <f t="shared" si="3585"/>
        <v>108</v>
      </c>
      <c r="CA381" s="113" t="str">
        <f t="shared" si="3586"/>
        <v>-</v>
      </c>
      <c r="CB381" s="114">
        <f t="shared" si="3587"/>
        <v>149</v>
      </c>
      <c r="CC381" s="113">
        <f t="shared" si="3588"/>
        <v>187</v>
      </c>
      <c r="CD381" s="114">
        <f t="shared" si="3589"/>
        <v>195</v>
      </c>
      <c r="CE381" s="113">
        <f t="shared" si="3590"/>
        <v>267</v>
      </c>
      <c r="CF381" s="114">
        <f t="shared" si="3591"/>
        <v>306</v>
      </c>
      <c r="CG381" s="113" t="str">
        <f t="shared" si="3592"/>
        <v>-</v>
      </c>
      <c r="CH381" s="111">
        <f t="shared" si="3593"/>
        <v>65</v>
      </c>
      <c r="CI381" s="113" t="str">
        <f t="shared" si="3594"/>
        <v>-</v>
      </c>
      <c r="CJ381" s="114">
        <f t="shared" si="3595"/>
        <v>102</v>
      </c>
      <c r="CK381" s="114">
        <f t="shared" si="3596"/>
        <v>107</v>
      </c>
      <c r="CL381" s="114">
        <f t="shared" si="3597"/>
        <v>143</v>
      </c>
      <c r="CM381" s="114" t="str">
        <f t="shared" si="3598"/>
        <v>-</v>
      </c>
      <c r="CN381" s="114">
        <f t="shared" si="3599"/>
        <v>175</v>
      </c>
      <c r="CO381" s="114">
        <f t="shared" si="3600"/>
        <v>189</v>
      </c>
      <c r="CP381" s="114">
        <f t="shared" si="3601"/>
        <v>229</v>
      </c>
      <c r="CQ381" s="114">
        <f t="shared" si="3602"/>
        <v>300</v>
      </c>
      <c r="CR381" s="114">
        <f t="shared" si="3603"/>
        <v>333</v>
      </c>
      <c r="CS381" s="114" t="str">
        <f t="shared" si="3604"/>
        <v>-</v>
      </c>
      <c r="CT381" s="109" t="e">
        <f t="shared" si="3605"/>
        <v>#VALUE!</v>
      </c>
    </row>
    <row r="382" spans="1:1030" x14ac:dyDescent="0.2">
      <c r="A382" s="3" t="str">
        <f t="shared" si="2960"/>
        <v>p2ry1_human__wt</v>
      </c>
      <c r="B382" s="3" t="s">
        <v>344</v>
      </c>
      <c r="C382" s="3" t="s">
        <v>100</v>
      </c>
      <c r="D382" s="3" t="str">
        <f>IFERROR(MID(VLOOKUP($B382,Seqs!$A:$B,2,0),E382,1),"")</f>
        <v>F</v>
      </c>
      <c r="E382" s="3">
        <v>49</v>
      </c>
      <c r="F382" s="3" t="str">
        <f>IFERROR(MID(VLOOKUP($B382,Seqs!$A:$B,2,0),G382,1),"")</f>
        <v>H</v>
      </c>
      <c r="G382" s="3">
        <v>79</v>
      </c>
      <c r="H382" s="3" t="str">
        <f>IFERROR(MID(VLOOKUP($B382,Seqs!$A:$B,2,0),I382,1),"")</f>
        <v/>
      </c>
      <c r="I382" s="23" t="s">
        <v>23</v>
      </c>
      <c r="J382" s="3" t="str">
        <f>IFERROR(MID(VLOOKUP($B382,Seqs!$A:$B,2,0),K382,1),"")</f>
        <v/>
      </c>
      <c r="K382" s="23" t="s">
        <v>23</v>
      </c>
      <c r="L382" s="3" t="str">
        <f>IFERROR(MID(VLOOKUP($B382,Seqs!$A:$B,2,0),M382,1),"")</f>
        <v>S</v>
      </c>
      <c r="M382" s="3">
        <v>84</v>
      </c>
      <c r="N382" s="3" t="str">
        <f>IFERROR(MID(VLOOKUP($B382,Seqs!$A:$B,2,0),O382,1),"")</f>
        <v>N</v>
      </c>
      <c r="O382" s="3">
        <v>113</v>
      </c>
      <c r="P382" s="3" t="str">
        <f>IFERROR(MID(VLOOKUP($B382,Seqs!$A:$B,2,0),Q382,1),"")</f>
        <v>D</v>
      </c>
      <c r="Q382" s="3">
        <v>116</v>
      </c>
      <c r="R382" s="3" t="str">
        <f>IFERROR(MID(VLOOKUP($B382,Seqs!$A:$B,2,0),S382,1),"")</f>
        <v>F</v>
      </c>
      <c r="S382" s="3">
        <v>119</v>
      </c>
      <c r="T382" s="3" t="str">
        <f>IFERROR(MID(VLOOKUP($B382,Seqs!$A:$B,2,0),U382,1),"")</f>
        <v>G</v>
      </c>
      <c r="U382" s="3">
        <v>120</v>
      </c>
      <c r="V382" s="3" t="str">
        <f>IFERROR(MID(VLOOKUP($B382,Seqs!$A:$B,2,0),W382,1),"")</f>
        <v>Y</v>
      </c>
      <c r="W382" s="3">
        <v>155</v>
      </c>
      <c r="X382" s="3" t="str">
        <f>IFERROR(MID(VLOOKUP($B382,Seqs!$A:$B,2,0),Y382,1),"")</f>
        <v>P</v>
      </c>
      <c r="Y382" s="3">
        <v>156</v>
      </c>
      <c r="Z382" s="3" t="str">
        <f>IFERROR(MID(VLOOKUP($B382,Seqs!$A:$B,2,0),AA382,1),"")</f>
        <v>L</v>
      </c>
      <c r="AA382" s="3">
        <v>163</v>
      </c>
      <c r="AB382" s="3" t="str">
        <f>IFERROR(MID(VLOOKUP($B382,Seqs!$A:$B,2,0),AC382,1),"")</f>
        <v>K</v>
      </c>
      <c r="AC382" s="3">
        <v>164</v>
      </c>
      <c r="AD382" s="3" t="str">
        <f>IFERROR(MID(VLOOKUP($B382,Seqs!$A:$B,2,0),AE382,1),"")</f>
        <v>S</v>
      </c>
      <c r="AE382" s="3">
        <v>190</v>
      </c>
      <c r="AF382" s="3" t="str">
        <f>IFERROR(MID(VLOOKUP($B382,Seqs!$A:$B,2,0),AG382,1),"")</f>
        <v>C</v>
      </c>
      <c r="AG382" s="3">
        <v>202</v>
      </c>
      <c r="AH382" s="3" t="str">
        <f>IFERROR(MID(VLOOKUP($B382,Seqs!$A:$B,2,0),AI382,1),"")</f>
        <v>D</v>
      </c>
      <c r="AI382" s="3">
        <v>204</v>
      </c>
      <c r="AJ382" s="3" t="str">
        <f>IFERROR(MID(VLOOKUP($B382,Seqs!$A:$B,2,0),AK382,1),"")</f>
        <v>L</v>
      </c>
      <c r="AK382" s="3">
        <v>211</v>
      </c>
      <c r="AL382" s="3" t="str">
        <f>IFERROR(MID(VLOOKUP($B382,Seqs!$A:$B,2,0),AM382,1),"")</f>
        <v>K</v>
      </c>
      <c r="AM382" s="3">
        <v>247</v>
      </c>
      <c r="AN382" s="3" t="str">
        <f>IFERROR(MID(VLOOKUP($B382,Seqs!$A:$B,2,0),AO382,1),"")</f>
        <v>P</v>
      </c>
      <c r="AO382" s="3">
        <v>253</v>
      </c>
      <c r="AP382" s="3" t="str">
        <f>IFERROR(MID(VLOOKUP($B382,Seqs!$A:$B,2,0),AQ382,1),"")</f>
        <v>D</v>
      </c>
      <c r="AQ382" s="3">
        <v>289</v>
      </c>
      <c r="AR382" s="3" t="str">
        <f>IFERROR(MID(VLOOKUP($B382,Seqs!$A:$B,2,0),AS382,1),"")</f>
        <v>M</v>
      </c>
      <c r="AS382" s="3">
        <v>295</v>
      </c>
      <c r="AT382" s="3" t="str">
        <f>IFERROR(MID(VLOOKUP($B382,Seqs!$A:$B,2,0),AU382,1),"")</f>
        <v>A</v>
      </c>
      <c r="AU382" s="3">
        <v>327</v>
      </c>
      <c r="AV382" s="3" t="str">
        <f>IFERROR(MID(VLOOKUP($B382,Seqs!$A:$B,2,0),AW382,1),"")</f>
        <v>G</v>
      </c>
      <c r="AW382" s="3">
        <v>328</v>
      </c>
      <c r="AX382" s="3" t="str">
        <f>IFERROR(MID(VLOOKUP($B382,Seqs!$A:$B,2,0),AY382,1),"")</f>
        <v>R</v>
      </c>
      <c r="AY382" s="3">
        <v>340</v>
      </c>
      <c r="AZ382" s="77" t="str">
        <f>VLOOKUP(B382,Classification!A:D,2,0)</f>
        <v>A</v>
      </c>
      <c r="BA382" s="94" t="str">
        <f>VLOOKUP(B382,Classification!A:D,4,0)</f>
        <v>P2Y</v>
      </c>
      <c r="BB382" s="27" t="b">
        <f t="shared" si="2961"/>
        <v>1</v>
      </c>
      <c r="BC382" s="23">
        <f t="shared" si="2934"/>
        <v>260</v>
      </c>
      <c r="BD382" s="56" t="s">
        <v>23</v>
      </c>
      <c r="BE382" s="3" t="s">
        <v>23</v>
      </c>
      <c r="BF382" s="118" t="s">
        <v>23</v>
      </c>
      <c r="BG382" s="49" t="s">
        <v>1368</v>
      </c>
      <c r="BH382" s="49" t="s">
        <v>1373</v>
      </c>
      <c r="BI382" s="1"/>
      <c r="BJ382" s="70" t="s">
        <v>1283</v>
      </c>
      <c r="BK382" s="57" t="s">
        <v>1283</v>
      </c>
      <c r="BL382" s="57" t="s">
        <v>1283</v>
      </c>
      <c r="BM382" s="57" t="s">
        <v>1283</v>
      </c>
      <c r="BN382" s="57" t="s">
        <v>1283</v>
      </c>
      <c r="BO382" s="57" t="s">
        <v>1283</v>
      </c>
      <c r="BP382" s="57" t="s">
        <v>1283</v>
      </c>
      <c r="BQ382" s="57" t="s">
        <v>1283</v>
      </c>
      <c r="BR382" s="57" t="s">
        <v>1283</v>
      </c>
      <c r="BS382" s="57" t="s">
        <v>1283</v>
      </c>
      <c r="BT382" s="57" t="s">
        <v>1283</v>
      </c>
      <c r="BU382" s="57" t="s">
        <v>1283</v>
      </c>
      <c r="BV382" s="70">
        <f t="shared" si="2935"/>
        <v>49</v>
      </c>
      <c r="BW382" s="71" t="str">
        <f t="shared" si="2936"/>
        <v>-</v>
      </c>
      <c r="BX382" s="72">
        <f t="shared" si="2937"/>
        <v>84</v>
      </c>
      <c r="BY382" s="71">
        <f t="shared" si="2938"/>
        <v>116</v>
      </c>
      <c r="BZ382" s="72">
        <f t="shared" si="2939"/>
        <v>120</v>
      </c>
      <c r="CA382" s="71">
        <f t="shared" si="2940"/>
        <v>156</v>
      </c>
      <c r="CB382" s="72">
        <f t="shared" si="2941"/>
        <v>164</v>
      </c>
      <c r="CC382" s="71">
        <f t="shared" si="2942"/>
        <v>202</v>
      </c>
      <c r="CD382" s="72">
        <f t="shared" si="2943"/>
        <v>211</v>
      </c>
      <c r="CE382" s="71">
        <f t="shared" si="2944"/>
        <v>253</v>
      </c>
      <c r="CF382" s="72">
        <f t="shared" si="2945"/>
        <v>295</v>
      </c>
      <c r="CG382" s="71">
        <f t="shared" si="2946"/>
        <v>328</v>
      </c>
      <c r="CH382" s="70">
        <f t="shared" si="2947"/>
        <v>79</v>
      </c>
      <c r="CI382" s="71" t="str">
        <f t="shared" si="2948"/>
        <v>-</v>
      </c>
      <c r="CJ382" s="72">
        <f t="shared" si="2949"/>
        <v>113</v>
      </c>
      <c r="CK382" s="72">
        <f t="shared" si="2950"/>
        <v>119</v>
      </c>
      <c r="CL382" s="72">
        <f t="shared" si="2951"/>
        <v>155</v>
      </c>
      <c r="CM382" s="72">
        <f t="shared" si="2952"/>
        <v>163</v>
      </c>
      <c r="CN382" s="72">
        <f t="shared" si="2953"/>
        <v>190</v>
      </c>
      <c r="CO382" s="72">
        <f t="shared" si="2954"/>
        <v>204</v>
      </c>
      <c r="CP382" s="72">
        <f t="shared" si="2955"/>
        <v>247</v>
      </c>
      <c r="CQ382" s="72">
        <f t="shared" si="2956"/>
        <v>289</v>
      </c>
      <c r="CR382" s="72">
        <f t="shared" si="2957"/>
        <v>327</v>
      </c>
      <c r="CS382" s="72">
        <f t="shared" si="2958"/>
        <v>340</v>
      </c>
      <c r="CT382" s="23" t="e">
        <f t="shared" si="2959"/>
        <v>#VALUE!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30" x14ac:dyDescent="0.2">
      <c r="A383" s="3" t="str">
        <f t="shared" si="2960"/>
        <v>p2ry1_human_4XNV</v>
      </c>
      <c r="B383" s="3" t="s">
        <v>344</v>
      </c>
      <c r="C383" s="3" t="s">
        <v>1147</v>
      </c>
      <c r="D383" s="3" t="str">
        <f>IFERROR(MID(VLOOKUP($B383,Seqs!$A:$B,2,0),E383,1),"")</f>
        <v>F</v>
      </c>
      <c r="E383" s="3">
        <v>49</v>
      </c>
      <c r="F383" s="3" t="str">
        <f>IFERROR(MID(VLOOKUP($B383,Seqs!$A:$B,2,0),G383,1),"")</f>
        <v>H</v>
      </c>
      <c r="G383" s="3">
        <v>79</v>
      </c>
      <c r="H383" s="3" t="str">
        <f>IFERROR(MID(VLOOKUP($B383,Seqs!$A:$B,2,0),I383,1),"")</f>
        <v/>
      </c>
      <c r="I383" s="23" t="s">
        <v>23</v>
      </c>
      <c r="J383" s="3" t="str">
        <f>IFERROR(MID(VLOOKUP($B383,Seqs!$A:$B,2,0),K383,1),"")</f>
        <v/>
      </c>
      <c r="K383" s="23" t="s">
        <v>23</v>
      </c>
      <c r="L383" s="3" t="str">
        <f>IFERROR(MID(VLOOKUP($B383,Seqs!$A:$B,2,0),M383,1),"")</f>
        <v>S</v>
      </c>
      <c r="M383" s="3">
        <v>84</v>
      </c>
      <c r="N383" s="3" t="str">
        <f>IFERROR(MID(VLOOKUP($B383,Seqs!$A:$B,2,0),O383,1),"")</f>
        <v>N</v>
      </c>
      <c r="O383" s="3">
        <v>113</v>
      </c>
      <c r="P383" s="3" t="str">
        <f>IFERROR(MID(VLOOKUP($B383,Seqs!$A:$B,2,0),Q383,1),"")</f>
        <v>D</v>
      </c>
      <c r="Q383" s="3">
        <v>116</v>
      </c>
      <c r="R383" s="3" t="str">
        <f>IFERROR(MID(VLOOKUP($B383,Seqs!$A:$B,2,0),S383,1),"")</f>
        <v>F</v>
      </c>
      <c r="S383" s="3">
        <v>119</v>
      </c>
      <c r="T383" s="3" t="str">
        <f>IFERROR(MID(VLOOKUP($B383,Seqs!$A:$B,2,0),U383,1),"")</f>
        <v>G</v>
      </c>
      <c r="U383" s="3">
        <v>120</v>
      </c>
      <c r="V383" s="3" t="str">
        <f>IFERROR(MID(VLOOKUP($B383,Seqs!$A:$B,2,0),W383,1),"")</f>
        <v>Y</v>
      </c>
      <c r="W383" s="3">
        <v>155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G</v>
      </c>
      <c r="AC383" s="9">
        <v>161</v>
      </c>
      <c r="AD383" s="3" t="str">
        <f>IFERROR(MID(VLOOKUP($B383,Seqs!$A:$B,2,0),AE383,1),"")</f>
        <v>S</v>
      </c>
      <c r="AE383" s="3">
        <v>190</v>
      </c>
      <c r="AF383" s="3" t="str">
        <f>IFERROR(MID(VLOOKUP($B383,Seqs!$A:$B,2,0),AG383,1),"")</f>
        <v>C</v>
      </c>
      <c r="AG383" s="3">
        <v>202</v>
      </c>
      <c r="AH383" s="3" t="str">
        <f>IFERROR(MID(VLOOKUP($B383,Seqs!$A:$B,2,0),AI383,1),"")</f>
        <v>D</v>
      </c>
      <c r="AI383" s="3">
        <v>204</v>
      </c>
      <c r="AJ383" s="3" t="str">
        <f>IFERROR(MID(VLOOKUP($B383,Seqs!$A:$B,2,0),AK383,1),"")</f>
        <v>L</v>
      </c>
      <c r="AK383" s="3">
        <v>211</v>
      </c>
      <c r="AL383" s="3" t="str">
        <f>IFERROR(MID(VLOOKUP($B383,Seqs!$A:$B,2,0),AM383,1),"")</f>
        <v>K</v>
      </c>
      <c r="AM383" s="3">
        <v>247</v>
      </c>
      <c r="AN383" s="3" t="str">
        <f>IFERROR(MID(VLOOKUP($B383,Seqs!$A:$B,2,0),AO383,1),"")</f>
        <v>P</v>
      </c>
      <c r="AO383" s="3">
        <v>253</v>
      </c>
      <c r="AP383" s="3" t="str">
        <f>IFERROR(MID(VLOOKUP($B383,Seqs!$A:$B,2,0),AQ383,1),"")</f>
        <v>D</v>
      </c>
      <c r="AQ383" s="3">
        <v>289</v>
      </c>
      <c r="AR383" s="3" t="str">
        <f>IFERROR(MID(VLOOKUP($B383,Seqs!$A:$B,2,0),AS383,1),"")</f>
        <v>M</v>
      </c>
      <c r="AS383" s="3">
        <v>295</v>
      </c>
      <c r="AT383" s="3" t="str">
        <f>IFERROR(MID(VLOOKUP($B383,Seqs!$A:$B,2,0),AU383,1),"")</f>
        <v>L</v>
      </c>
      <c r="AU383" s="3">
        <v>326</v>
      </c>
      <c r="AV383" s="3" t="str">
        <f>IFERROR(MID(VLOOKUP($B383,Seqs!$A:$B,2,0),AW383,1),"")</f>
        <v/>
      </c>
      <c r="AW383" s="3" t="s">
        <v>23</v>
      </c>
      <c r="AX383" s="3" t="str">
        <f>IFERROR(MID(VLOOKUP($B383,Seqs!$A:$B,2,0),AY383,1),"")</f>
        <v/>
      </c>
      <c r="AY383" s="3" t="s">
        <v>23</v>
      </c>
      <c r="AZ383" s="77" t="str">
        <f>VLOOKUP(B383,Classification!A:D,2,0)</f>
        <v>A</v>
      </c>
      <c r="BA383" s="94" t="str">
        <f>VLOOKUP(B383,Classification!A:D,4,0)</f>
        <v>P2Y</v>
      </c>
      <c r="BB383" s="27" t="b">
        <f t="shared" si="2961"/>
        <v>1</v>
      </c>
      <c r="BC383" s="23">
        <f t="shared" si="2934"/>
        <v>243</v>
      </c>
      <c r="BD383" s="4" t="s">
        <v>23</v>
      </c>
      <c r="BE383" s="3" t="s">
        <v>1424</v>
      </c>
      <c r="BF383" s="118">
        <v>2.2000000000000002</v>
      </c>
      <c r="BG383" s="49" t="s">
        <v>1373</v>
      </c>
      <c r="BH383" s="49" t="s">
        <v>1373</v>
      </c>
      <c r="BI383" s="3" t="s">
        <v>1164</v>
      </c>
      <c r="BJ383" s="70" t="s">
        <v>1283</v>
      </c>
      <c r="BK383" s="57" t="s">
        <v>1283</v>
      </c>
      <c r="BL383" s="57" t="s">
        <v>1283</v>
      </c>
      <c r="BM383" s="57" t="s">
        <v>1283</v>
      </c>
      <c r="BN383" s="57" t="s">
        <v>1283</v>
      </c>
      <c r="BO383" s="57" t="s">
        <v>1283</v>
      </c>
      <c r="BP383" s="57" t="s">
        <v>1283</v>
      </c>
      <c r="BQ383" s="57" t="s">
        <v>1283</v>
      </c>
      <c r="BR383" s="57" t="s">
        <v>1283</v>
      </c>
      <c r="BS383" s="57" t="s">
        <v>1283</v>
      </c>
      <c r="BT383" s="57" t="s">
        <v>1283</v>
      </c>
      <c r="BU383" s="57" t="s">
        <v>1283</v>
      </c>
      <c r="BV383" s="70">
        <f t="shared" si="2935"/>
        <v>49</v>
      </c>
      <c r="BW383" s="71" t="str">
        <f t="shared" si="2936"/>
        <v>-</v>
      </c>
      <c r="BX383" s="72">
        <f t="shared" si="2937"/>
        <v>84</v>
      </c>
      <c r="BY383" s="71">
        <f t="shared" si="2938"/>
        <v>116</v>
      </c>
      <c r="BZ383" s="72">
        <f t="shared" si="2939"/>
        <v>120</v>
      </c>
      <c r="CA383" s="71" t="str">
        <f t="shared" si="2940"/>
        <v>-</v>
      </c>
      <c r="CB383" s="72">
        <f t="shared" si="2941"/>
        <v>161</v>
      </c>
      <c r="CC383" s="71">
        <f t="shared" si="2942"/>
        <v>202</v>
      </c>
      <c r="CD383" s="72">
        <f t="shared" si="2943"/>
        <v>211</v>
      </c>
      <c r="CE383" s="71">
        <f t="shared" si="2944"/>
        <v>253</v>
      </c>
      <c r="CF383" s="72">
        <f t="shared" si="2945"/>
        <v>295</v>
      </c>
      <c r="CG383" s="71" t="str">
        <f t="shared" si="2946"/>
        <v>-</v>
      </c>
      <c r="CH383" s="70">
        <f t="shared" si="2947"/>
        <v>79</v>
      </c>
      <c r="CI383" s="71" t="str">
        <f t="shared" si="2948"/>
        <v>-</v>
      </c>
      <c r="CJ383" s="72">
        <f t="shared" si="2949"/>
        <v>113</v>
      </c>
      <c r="CK383" s="72">
        <f t="shared" si="2950"/>
        <v>119</v>
      </c>
      <c r="CL383" s="72">
        <f t="shared" si="2951"/>
        <v>155</v>
      </c>
      <c r="CM383" s="72" t="str">
        <f t="shared" si="2952"/>
        <v>-</v>
      </c>
      <c r="CN383" s="72">
        <f t="shared" si="2953"/>
        <v>190</v>
      </c>
      <c r="CO383" s="72">
        <f t="shared" si="2954"/>
        <v>204</v>
      </c>
      <c r="CP383" s="72">
        <f t="shared" si="2955"/>
        <v>247</v>
      </c>
      <c r="CQ383" s="72">
        <f t="shared" si="2956"/>
        <v>289</v>
      </c>
      <c r="CR383" s="72">
        <f t="shared" si="2957"/>
        <v>326</v>
      </c>
      <c r="CS383" s="72" t="str">
        <f t="shared" si="2958"/>
        <v>-</v>
      </c>
      <c r="CT383" s="23" t="e">
        <f t="shared" si="2959"/>
        <v>#VALUE!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30" x14ac:dyDescent="0.2">
      <c r="A384" s="3" t="str">
        <f t="shared" si="2960"/>
        <v>p2ry1_human_4XNW</v>
      </c>
      <c r="B384" s="3" t="s">
        <v>344</v>
      </c>
      <c r="C384" s="3" t="s">
        <v>1051</v>
      </c>
      <c r="D384" s="3" t="str">
        <f>IFERROR(MID(VLOOKUP($B384,Seqs!$A:$B,2,0),E384,1),"")</f>
        <v>F</v>
      </c>
      <c r="E384" s="3">
        <v>49</v>
      </c>
      <c r="F384" s="3" t="str">
        <f>IFERROR(MID(VLOOKUP($B384,Seqs!$A:$B,2,0),G384,1),"")</f>
        <v>H</v>
      </c>
      <c r="G384" s="3">
        <v>79</v>
      </c>
      <c r="H384" s="3" t="str">
        <f>IFERROR(MID(VLOOKUP($B384,Seqs!$A:$B,2,0),I384,1),"")</f>
        <v/>
      </c>
      <c r="I384" s="23" t="s">
        <v>23</v>
      </c>
      <c r="J384" s="3" t="str">
        <f>IFERROR(MID(VLOOKUP($B384,Seqs!$A:$B,2,0),K384,1),"")</f>
        <v/>
      </c>
      <c r="K384" s="23" t="s">
        <v>23</v>
      </c>
      <c r="L384" s="3" t="str">
        <f>IFERROR(MID(VLOOKUP($B384,Seqs!$A:$B,2,0),M384,1),"")</f>
        <v>S</v>
      </c>
      <c r="M384" s="3">
        <v>84</v>
      </c>
      <c r="N384" s="3" t="str">
        <f>IFERROR(MID(VLOOKUP($B384,Seqs!$A:$B,2,0),O384,1),"")</f>
        <v>N</v>
      </c>
      <c r="O384" s="3">
        <v>113</v>
      </c>
      <c r="P384" s="3" t="str">
        <f>IFERROR(MID(VLOOKUP($B384,Seqs!$A:$B,2,0),Q384,1),"")</f>
        <v>D</v>
      </c>
      <c r="Q384" s="3">
        <v>116</v>
      </c>
      <c r="R384" s="3" t="str">
        <f>IFERROR(MID(VLOOKUP($B384,Seqs!$A:$B,2,0),S384,1),"")</f>
        <v>F</v>
      </c>
      <c r="S384" s="3">
        <v>119</v>
      </c>
      <c r="T384" s="3" t="str">
        <f>IFERROR(MID(VLOOKUP($B384,Seqs!$A:$B,2,0),U384,1),"")</f>
        <v>G</v>
      </c>
      <c r="U384" s="3">
        <v>120</v>
      </c>
      <c r="V384" s="3" t="str">
        <f>IFERROR(MID(VLOOKUP($B384,Seqs!$A:$B,2,0),W384,1),"")</f>
        <v>Y</v>
      </c>
      <c r="W384" s="3">
        <v>155</v>
      </c>
      <c r="X384" s="3" t="str">
        <f>IFERROR(MID(VLOOKUP($B384,Seqs!$A:$B,2,0),Y384,1),"")</f>
        <v>P</v>
      </c>
      <c r="Y384" s="3">
        <v>156</v>
      </c>
      <c r="Z384" s="3" t="str">
        <f>IFERROR(MID(VLOOKUP($B384,Seqs!$A:$B,2,0),AA384,1),"")</f>
        <v>L</v>
      </c>
      <c r="AA384" s="3">
        <v>163</v>
      </c>
      <c r="AB384" s="3" t="str">
        <f>IFERROR(MID(VLOOKUP($B384,Seqs!$A:$B,2,0),AC384,1),"")</f>
        <v>K</v>
      </c>
      <c r="AC384" s="9">
        <v>164</v>
      </c>
      <c r="AD384" s="3" t="str">
        <f>IFERROR(MID(VLOOKUP($B384,Seqs!$A:$B,2,0),AE384,1),"")</f>
        <v>S</v>
      </c>
      <c r="AE384" s="3">
        <v>190</v>
      </c>
      <c r="AF384" s="3" t="str">
        <f>IFERROR(MID(VLOOKUP($B384,Seqs!$A:$B,2,0),AG384,1),"")</f>
        <v>C</v>
      </c>
      <c r="AG384" s="3">
        <v>202</v>
      </c>
      <c r="AH384" s="3" t="str">
        <f>IFERROR(MID(VLOOKUP($B384,Seqs!$A:$B,2,0),AI384,1),"")</f>
        <v>D</v>
      </c>
      <c r="AI384" s="3">
        <v>204</v>
      </c>
      <c r="AJ384" s="3" t="str">
        <f>IFERROR(MID(VLOOKUP($B384,Seqs!$A:$B,2,0),AK384,1),"")</f>
        <v>L</v>
      </c>
      <c r="AK384" s="3">
        <v>211</v>
      </c>
      <c r="AL384" s="3" t="str">
        <f>IFERROR(MID(VLOOKUP($B384,Seqs!$A:$B,2,0),AM384,1),"")</f>
        <v>K</v>
      </c>
      <c r="AM384" s="3">
        <v>247</v>
      </c>
      <c r="AN384" s="3" t="str">
        <f>IFERROR(MID(VLOOKUP($B384,Seqs!$A:$B,2,0),AO384,1),"")</f>
        <v>P</v>
      </c>
      <c r="AO384" s="3">
        <v>253</v>
      </c>
      <c r="AP384" s="3" t="str">
        <f>IFERROR(MID(VLOOKUP($B384,Seqs!$A:$B,2,0),AQ384,1),"")</f>
        <v>D</v>
      </c>
      <c r="AQ384" s="3">
        <v>289</v>
      </c>
      <c r="AR384" s="3" t="str">
        <f>IFERROR(MID(VLOOKUP($B384,Seqs!$A:$B,2,0),AS384,1),"")</f>
        <v>M</v>
      </c>
      <c r="AS384" s="3">
        <v>295</v>
      </c>
      <c r="AT384" s="3" t="str">
        <f>IFERROR(MID(VLOOKUP($B384,Seqs!$A:$B,2,0),AU384,1),"")</f>
        <v>L</v>
      </c>
      <c r="AU384" s="3">
        <v>326</v>
      </c>
      <c r="AV384" s="3" t="str">
        <f>IFERROR(MID(VLOOKUP($B384,Seqs!$A:$B,2,0),AW384,1),"")</f>
        <v/>
      </c>
      <c r="AW384" s="3" t="s">
        <v>23</v>
      </c>
      <c r="AX384" s="3" t="str">
        <f>IFERROR(MID(VLOOKUP($B384,Seqs!$A:$B,2,0),AY384,1),"")</f>
        <v/>
      </c>
      <c r="AY384" s="3" t="s">
        <v>23</v>
      </c>
      <c r="AZ384" s="77" t="str">
        <f>VLOOKUP(B384,Classification!A:D,2,0)</f>
        <v>A</v>
      </c>
      <c r="BA384" s="94" t="str">
        <f>VLOOKUP(B384,Classification!A:D,4,0)</f>
        <v>P2Y</v>
      </c>
      <c r="BB384" s="27" t="b">
        <f t="shared" si="2961"/>
        <v>1</v>
      </c>
      <c r="BC384" s="23">
        <f t="shared" si="2934"/>
        <v>247</v>
      </c>
      <c r="BD384" s="2" t="s">
        <v>1425</v>
      </c>
      <c r="BE384" s="3" t="s">
        <v>1424</v>
      </c>
      <c r="BF384" s="118">
        <v>2.7</v>
      </c>
      <c r="BG384" s="49" t="s">
        <v>1373</v>
      </c>
      <c r="BH384" s="49" t="s">
        <v>1373</v>
      </c>
      <c r="BI384" s="1"/>
      <c r="BJ384" s="70" t="s">
        <v>1283</v>
      </c>
      <c r="BK384" s="57" t="s">
        <v>1283</v>
      </c>
      <c r="BL384" s="57" t="s">
        <v>1283</v>
      </c>
      <c r="BM384" s="57" t="s">
        <v>1283</v>
      </c>
      <c r="BN384" s="57" t="s">
        <v>1283</v>
      </c>
      <c r="BO384" s="57" t="s">
        <v>1283</v>
      </c>
      <c r="BP384" s="57" t="s">
        <v>1283</v>
      </c>
      <c r="BQ384" s="57" t="s">
        <v>1283</v>
      </c>
      <c r="BR384" s="57" t="s">
        <v>1283</v>
      </c>
      <c r="BS384" s="57" t="s">
        <v>1283</v>
      </c>
      <c r="BT384" s="57" t="s">
        <v>1283</v>
      </c>
      <c r="BU384" s="57" t="s">
        <v>1283</v>
      </c>
      <c r="BV384" s="70">
        <f t="shared" si="2935"/>
        <v>49</v>
      </c>
      <c r="BW384" s="71" t="str">
        <f t="shared" si="2936"/>
        <v>-</v>
      </c>
      <c r="BX384" s="72">
        <f t="shared" si="2937"/>
        <v>84</v>
      </c>
      <c r="BY384" s="71">
        <f t="shared" si="2938"/>
        <v>116</v>
      </c>
      <c r="BZ384" s="72">
        <f t="shared" si="2939"/>
        <v>120</v>
      </c>
      <c r="CA384" s="71">
        <f t="shared" si="2940"/>
        <v>156</v>
      </c>
      <c r="CB384" s="72">
        <f t="shared" si="2941"/>
        <v>164</v>
      </c>
      <c r="CC384" s="71">
        <f t="shared" si="2942"/>
        <v>202</v>
      </c>
      <c r="CD384" s="72">
        <f t="shared" si="2943"/>
        <v>211</v>
      </c>
      <c r="CE384" s="71">
        <f t="shared" si="2944"/>
        <v>253</v>
      </c>
      <c r="CF384" s="72">
        <f t="shared" si="2945"/>
        <v>295</v>
      </c>
      <c r="CG384" s="71" t="str">
        <f t="shared" si="2946"/>
        <v>-</v>
      </c>
      <c r="CH384" s="70">
        <f t="shared" si="2947"/>
        <v>79</v>
      </c>
      <c r="CI384" s="71" t="str">
        <f t="shared" si="2948"/>
        <v>-</v>
      </c>
      <c r="CJ384" s="72">
        <f t="shared" si="2949"/>
        <v>113</v>
      </c>
      <c r="CK384" s="72">
        <f t="shared" si="2950"/>
        <v>119</v>
      </c>
      <c r="CL384" s="72">
        <f t="shared" si="2951"/>
        <v>155</v>
      </c>
      <c r="CM384" s="72">
        <f t="shared" si="2952"/>
        <v>163</v>
      </c>
      <c r="CN384" s="72">
        <f t="shared" si="2953"/>
        <v>190</v>
      </c>
      <c r="CO384" s="72">
        <f t="shared" si="2954"/>
        <v>204</v>
      </c>
      <c r="CP384" s="72">
        <f t="shared" si="2955"/>
        <v>247</v>
      </c>
      <c r="CQ384" s="72">
        <f t="shared" si="2956"/>
        <v>289</v>
      </c>
      <c r="CR384" s="72">
        <f t="shared" si="2957"/>
        <v>326</v>
      </c>
      <c r="CS384" s="72" t="str">
        <f t="shared" si="2958"/>
        <v>-</v>
      </c>
      <c r="CT384" s="23" t="e">
        <f t="shared" si="2959"/>
        <v>#VALUE!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2960"/>
        <v>p2y12_human__wt</v>
      </c>
      <c r="B385" s="3" t="s">
        <v>351</v>
      </c>
      <c r="C385" s="3" t="s">
        <v>100</v>
      </c>
      <c r="D385" s="3" t="str">
        <f>IFERROR(MID(VLOOKUP($B385,Seqs!$A:$B,2,0),E385,1),"")</f>
        <v>Y</v>
      </c>
      <c r="E385" s="3">
        <v>21</v>
      </c>
      <c r="F385" s="3" t="str">
        <f>IFERROR(MID(VLOOKUP($B385,Seqs!$A:$B,2,0),G385,1),"")</f>
        <v>I</v>
      </c>
      <c r="G385" s="3">
        <v>53</v>
      </c>
      <c r="H385" s="3" t="str">
        <f>IFERROR(MID(VLOOKUP($B385,Seqs!$A:$B,2,0),I385,1),"")</f>
        <v/>
      </c>
      <c r="I385" s="23" t="s">
        <v>23</v>
      </c>
      <c r="J385" s="3" t="str">
        <f>IFERROR(MID(VLOOKUP($B385,Seqs!$A:$B,2,0),K385,1),"")</f>
        <v/>
      </c>
      <c r="K385" s="23" t="s">
        <v>23</v>
      </c>
      <c r="L385" s="3" t="str">
        <f>IFERROR(MID(VLOOKUP($B385,Seqs!$A:$B,2,0),M385,1),"")</f>
        <v>S</v>
      </c>
      <c r="M385" s="3">
        <v>57</v>
      </c>
      <c r="N385" s="3" t="str">
        <f>IFERROR(MID(VLOOKUP($B385,Seqs!$A:$B,2,0),O385,1),"")</f>
        <v>K</v>
      </c>
      <c r="O385" s="3">
        <v>86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G</v>
      </c>
      <c r="U385" s="3">
        <v>90</v>
      </c>
      <c r="V385" s="3" t="str">
        <f>IFERROR(MID(VLOOKUP($B385,Seqs!$A:$B,2,0),W385,1),"")</f>
        <v>R</v>
      </c>
      <c r="W385" s="3">
        <v>128</v>
      </c>
      <c r="X385" s="3" t="str">
        <f>IFERROR(MID(VLOOKUP($B385,Seqs!$A:$B,2,0),Y385,1),"")</f>
        <v>P</v>
      </c>
      <c r="Y385" s="3">
        <v>129</v>
      </c>
      <c r="Z385" s="3" t="str">
        <f>IFERROR(MID(VLOOKUP($B385,Seqs!$A:$B,2,0),AA385,1),"")</f>
        <v>K</v>
      </c>
      <c r="AA385" s="73">
        <v>136</v>
      </c>
      <c r="AB385" s="3" t="str">
        <f>IFERROR(MID(VLOOKUP($B385,Seqs!$A:$B,2,0),AC385,1),"")</f>
        <v>N</v>
      </c>
      <c r="AC385" s="9">
        <v>137</v>
      </c>
      <c r="AD385" s="3" t="str">
        <f>IFERROR(MID(VLOOKUP($B385,Seqs!$A:$B,2,0),AE385,1),"")</f>
        <v>T</v>
      </c>
      <c r="AE385" s="3">
        <v>163</v>
      </c>
      <c r="AF385" s="3" t="str">
        <f>IFERROR(MID(VLOOKUP($B385,Seqs!$A:$B,2,0),AG385,1),"")</f>
        <v>C</v>
      </c>
      <c r="AG385" s="3">
        <v>175</v>
      </c>
      <c r="AH385" s="3" t="str">
        <f>IFERROR(MID(VLOOKUP($B385,Seqs!$A:$B,2,0),AI385,1),"")</f>
        <v>F</v>
      </c>
      <c r="AI385" s="3">
        <v>177</v>
      </c>
      <c r="AJ385" s="3" t="str">
        <f>IFERROR(MID(VLOOKUP($B385,Seqs!$A:$B,2,0),AK385,1),"")</f>
        <v>E</v>
      </c>
      <c r="AK385" s="3">
        <v>181</v>
      </c>
      <c r="AL385" s="3" t="str">
        <f>IFERROR(MID(VLOOKUP($B385,Seqs!$A:$B,2,0),AM385,1),"")</f>
        <v>T</v>
      </c>
      <c r="AM385" s="3">
        <v>223</v>
      </c>
      <c r="AN385" s="3" t="str">
        <f>IFERROR(MID(VLOOKUP($B385,Seqs!$A:$B,2,0),AO385,1),"")</f>
        <v>P</v>
      </c>
      <c r="AO385" s="3">
        <v>230</v>
      </c>
      <c r="AP385" s="3" t="str">
        <f>IFERROR(MID(VLOOKUP($B385,Seqs!$A:$B,2,0),AQ385,1),"")</f>
        <v>R</v>
      </c>
      <c r="AQ385" s="3">
        <v>265</v>
      </c>
      <c r="AR385" s="3" t="str">
        <f>IFERROR(MID(VLOOKUP($B385,Seqs!$A:$B,2,0),AS385,1),"")</f>
        <v>D</v>
      </c>
      <c r="AS385" s="3">
        <v>269</v>
      </c>
      <c r="AT385" s="3" t="str">
        <f>IFERROR(MID(VLOOKUP($B385,Seqs!$A:$B,2,0),AU385,1),"")</f>
        <v>L</v>
      </c>
      <c r="AU385" s="3">
        <v>301</v>
      </c>
      <c r="AV385" s="3" t="str">
        <f>IFERROR(MID(VLOOKUP($B385,Seqs!$A:$B,2,0),AW385,1),"")</f>
        <v>C</v>
      </c>
      <c r="AW385" s="3">
        <v>302</v>
      </c>
      <c r="AX385" s="3" t="str">
        <f>IFERROR(MID(VLOOKUP($B385,Seqs!$A:$B,2,0),AY385,1),"")</f>
        <v>M</v>
      </c>
      <c r="AY385" s="3">
        <v>312</v>
      </c>
      <c r="AZ385" s="77" t="str">
        <f>VLOOKUP(B385,Classification!A:D,2,0)</f>
        <v>A</v>
      </c>
      <c r="BA385" s="94" t="str">
        <f>VLOOKUP(B385,Classification!A:D,4,0)</f>
        <v>P2Y</v>
      </c>
      <c r="BB385" s="27" t="b">
        <f t="shared" si="2961"/>
        <v>1</v>
      </c>
      <c r="BC385" s="23">
        <f t="shared" si="2934"/>
        <v>265</v>
      </c>
      <c r="BD385" s="56" t="s">
        <v>23</v>
      </c>
      <c r="BE385" s="3" t="s">
        <v>23</v>
      </c>
      <c r="BF385" s="118" t="s">
        <v>23</v>
      </c>
      <c r="BG385" s="49" t="s">
        <v>1368</v>
      </c>
      <c r="BH385" s="49" t="s">
        <v>1373</v>
      </c>
      <c r="BI385" s="1"/>
      <c r="BJ385" s="70" t="s">
        <v>1283</v>
      </c>
      <c r="BK385" s="57" t="s">
        <v>1283</v>
      </c>
      <c r="BL385" s="57" t="s">
        <v>1283</v>
      </c>
      <c r="BM385" s="57" t="s">
        <v>1283</v>
      </c>
      <c r="BN385" s="57" t="s">
        <v>1283</v>
      </c>
      <c r="BO385" s="57" t="s">
        <v>1283</v>
      </c>
      <c r="BP385" s="57" t="s">
        <v>1283</v>
      </c>
      <c r="BQ385" s="57" t="s">
        <v>1283</v>
      </c>
      <c r="BR385" s="57" t="s">
        <v>1283</v>
      </c>
      <c r="BS385" s="57" t="s">
        <v>1283</v>
      </c>
      <c r="BT385" s="57" t="s">
        <v>1283</v>
      </c>
      <c r="BU385" s="57" t="s">
        <v>1283</v>
      </c>
      <c r="BV385" s="70">
        <f t="shared" si="2935"/>
        <v>21</v>
      </c>
      <c r="BW385" s="71" t="str">
        <f t="shared" si="2936"/>
        <v>-</v>
      </c>
      <c r="BX385" s="72">
        <f t="shared" si="2937"/>
        <v>57</v>
      </c>
      <c r="BY385" s="71" t="str">
        <f t="shared" si="2938"/>
        <v>-</v>
      </c>
      <c r="BZ385" s="72">
        <f t="shared" si="2939"/>
        <v>90</v>
      </c>
      <c r="CA385" s="71">
        <f t="shared" si="2940"/>
        <v>129</v>
      </c>
      <c r="CB385" s="72">
        <f t="shared" si="2941"/>
        <v>137</v>
      </c>
      <c r="CC385" s="71">
        <f t="shared" si="2942"/>
        <v>175</v>
      </c>
      <c r="CD385" s="72">
        <f t="shared" si="2943"/>
        <v>181</v>
      </c>
      <c r="CE385" s="71">
        <f t="shared" si="2944"/>
        <v>230</v>
      </c>
      <c r="CF385" s="72">
        <f t="shared" si="2945"/>
        <v>269</v>
      </c>
      <c r="CG385" s="71">
        <f t="shared" si="2946"/>
        <v>302</v>
      </c>
      <c r="CH385" s="70">
        <f t="shared" si="2947"/>
        <v>53</v>
      </c>
      <c r="CI385" s="71" t="str">
        <f t="shared" si="2948"/>
        <v>-</v>
      </c>
      <c r="CJ385" s="72">
        <f t="shared" si="2949"/>
        <v>86</v>
      </c>
      <c r="CK385" s="72" t="str">
        <f t="shared" si="2950"/>
        <v>-</v>
      </c>
      <c r="CL385" s="72">
        <f t="shared" si="2951"/>
        <v>128</v>
      </c>
      <c r="CM385" s="72">
        <f t="shared" si="2952"/>
        <v>136</v>
      </c>
      <c r="CN385" s="72">
        <f t="shared" si="2953"/>
        <v>163</v>
      </c>
      <c r="CO385" s="72">
        <f t="shared" si="2954"/>
        <v>177</v>
      </c>
      <c r="CP385" s="72">
        <f t="shared" si="2955"/>
        <v>223</v>
      </c>
      <c r="CQ385" s="72">
        <f t="shared" si="2956"/>
        <v>265</v>
      </c>
      <c r="CR385" s="72">
        <f t="shared" si="2957"/>
        <v>301</v>
      </c>
      <c r="CS385" s="72">
        <f t="shared" si="2958"/>
        <v>312</v>
      </c>
      <c r="CT385" s="23" t="e">
        <f t="shared" si="2959"/>
        <v>#VALUE!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si="2960"/>
        <v>p2y12_human_4NTJ</v>
      </c>
      <c r="B386" s="3" t="s">
        <v>351</v>
      </c>
      <c r="C386" s="3" t="s">
        <v>1044</v>
      </c>
      <c r="D386" s="3" t="str">
        <f>IFERROR(MID(VLOOKUP($B386,Seqs!$A:$B,2,0),E386,1),"")</f>
        <v>Y</v>
      </c>
      <c r="E386" s="3">
        <v>21</v>
      </c>
      <c r="F386" s="3" t="str">
        <f>IFERROR(MID(VLOOKUP($B386,Seqs!$A:$B,2,0),G386,1),"")</f>
        <v>I</v>
      </c>
      <c r="G386" s="3">
        <v>53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S</v>
      </c>
      <c r="M386" s="3">
        <v>57</v>
      </c>
      <c r="N386" s="3" t="str">
        <f>IFERROR(MID(VLOOKUP($B386,Seqs!$A:$B,2,0),O386,1),"")</f>
        <v>K</v>
      </c>
      <c r="O386" s="3">
        <v>86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L</v>
      </c>
      <c r="U386" s="3">
        <v>92</v>
      </c>
      <c r="V386" s="3" t="str">
        <f>IFERROR(MID(VLOOKUP($B386,Seqs!$A:$B,2,0),W386,1),"")</f>
        <v>R</v>
      </c>
      <c r="W386" s="3">
        <v>128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N</v>
      </c>
      <c r="AC386" s="9">
        <v>137</v>
      </c>
      <c r="AD386" s="3" t="str">
        <f>IFERROR(MID(VLOOKUP($B386,Seqs!$A:$B,2,0),AE386,1),"")</f>
        <v>L</v>
      </c>
      <c r="AE386" s="3">
        <v>162</v>
      </c>
      <c r="AF386" s="3" t="str">
        <f>IFERROR(MID(VLOOKUP($B386,Seqs!$A:$B,2,0),AG386,1),"")</f>
        <v>C</v>
      </c>
      <c r="AG386" s="3">
        <v>175</v>
      </c>
      <c r="AH386" s="3" t="str">
        <f>IFERROR(MID(VLOOKUP($B386,Seqs!$A:$B,2,0),AI386,1),"")</f>
        <v>F</v>
      </c>
      <c r="AI386" s="3">
        <v>177</v>
      </c>
      <c r="AJ386" s="3" t="str">
        <f>IFERROR(MID(VLOOKUP($B386,Seqs!$A:$B,2,0),AK386,1),"")</f>
        <v>E</v>
      </c>
      <c r="AK386" s="3">
        <v>181</v>
      </c>
      <c r="AL386" s="3" t="str">
        <f>IFERROR(MID(VLOOKUP($B386,Seqs!$A:$B,2,0),AM386,1),"")</f>
        <v>T</v>
      </c>
      <c r="AM386" s="3">
        <v>223</v>
      </c>
      <c r="AN386" s="3" t="str">
        <f>IFERROR(MID(VLOOKUP($B386,Seqs!$A:$B,2,0),AO386,1),"")</f>
        <v>I</v>
      </c>
      <c r="AO386" s="3">
        <v>240</v>
      </c>
      <c r="AP386" s="3" t="str">
        <f>IFERROR(MID(VLOOKUP($B386,Seqs!$A:$B,2,0),AQ386,1),"")</f>
        <v>L</v>
      </c>
      <c r="AQ386" s="3">
        <v>261</v>
      </c>
      <c r="AR386" s="3" t="str">
        <f>IFERROR(MID(VLOOKUP($B386,Seqs!$A:$B,2,0),AS386,1),"")</f>
        <v>D</v>
      </c>
      <c r="AS386" s="3">
        <v>269</v>
      </c>
      <c r="AT386" s="3" t="str">
        <f>IFERROR(MID(VLOOKUP($B386,Seqs!$A:$B,2,0),AU386,1),"")</f>
        <v>L</v>
      </c>
      <c r="AU386" s="3">
        <v>301</v>
      </c>
      <c r="AV386" s="3" t="str">
        <f>IFERROR(MID(VLOOKUP($B386,Seqs!$A:$B,2,0),AW386,1),"")</f>
        <v>C</v>
      </c>
      <c r="AW386" s="3">
        <v>302</v>
      </c>
      <c r="AX386" s="3" t="str">
        <f>IFERROR(MID(VLOOKUP($B386,Seqs!$A:$B,2,0),AY386,1),"")</f>
        <v>M</v>
      </c>
      <c r="AY386" s="3">
        <v>312</v>
      </c>
      <c r="AZ386" s="77" t="str">
        <f>VLOOKUP(B386,Classification!A:D,2,0)</f>
        <v>A</v>
      </c>
      <c r="BA386" s="94" t="str">
        <f>VLOOKUP(B386,Classification!A:D,4,0)</f>
        <v>P2Y</v>
      </c>
      <c r="BB386" s="27" t="b">
        <f t="shared" si="2961"/>
        <v>1</v>
      </c>
      <c r="BC386" s="23">
        <f t="shared" si="2934"/>
        <v>241</v>
      </c>
      <c r="BD386" s="2" t="s">
        <v>1425</v>
      </c>
      <c r="BE386" s="3" t="s">
        <v>1424</v>
      </c>
      <c r="BF386" s="118">
        <v>2.62</v>
      </c>
      <c r="BG386" s="49" t="s">
        <v>1373</v>
      </c>
      <c r="BH386" s="49" t="s">
        <v>1373</v>
      </c>
      <c r="BI386" s="3" t="s">
        <v>1166</v>
      </c>
      <c r="BJ386" s="70" t="s">
        <v>1283</v>
      </c>
      <c r="BK386" s="57" t="s">
        <v>1283</v>
      </c>
      <c r="BL386" s="57" t="s">
        <v>1283</v>
      </c>
      <c r="BM386" s="57" t="s">
        <v>1283</v>
      </c>
      <c r="BN386" s="57" t="s">
        <v>1283</v>
      </c>
      <c r="BO386" s="57" t="s">
        <v>1283</v>
      </c>
      <c r="BP386" s="57" t="s">
        <v>1283</v>
      </c>
      <c r="BQ386" s="57" t="s">
        <v>1283</v>
      </c>
      <c r="BR386" s="57" t="s">
        <v>1283</v>
      </c>
      <c r="BS386" s="57" t="s">
        <v>1283</v>
      </c>
      <c r="BT386" s="57" t="s">
        <v>1283</v>
      </c>
      <c r="BU386" s="57" t="s">
        <v>1283</v>
      </c>
      <c r="BV386" s="70">
        <f t="shared" si="2935"/>
        <v>21</v>
      </c>
      <c r="BW386" s="71" t="str">
        <f t="shared" si="2936"/>
        <v>-</v>
      </c>
      <c r="BX386" s="72">
        <f t="shared" si="2937"/>
        <v>57</v>
      </c>
      <c r="BY386" s="71" t="str">
        <f t="shared" si="2938"/>
        <v>-</v>
      </c>
      <c r="BZ386" s="72">
        <f t="shared" si="2939"/>
        <v>92</v>
      </c>
      <c r="CA386" s="71" t="str">
        <f t="shared" si="2940"/>
        <v>-</v>
      </c>
      <c r="CB386" s="72">
        <f t="shared" si="2941"/>
        <v>137</v>
      </c>
      <c r="CC386" s="71">
        <f t="shared" si="2942"/>
        <v>175</v>
      </c>
      <c r="CD386" s="72">
        <f t="shared" si="2943"/>
        <v>181</v>
      </c>
      <c r="CE386" s="71">
        <f t="shared" si="2944"/>
        <v>240</v>
      </c>
      <c r="CF386" s="72">
        <f t="shared" si="2945"/>
        <v>269</v>
      </c>
      <c r="CG386" s="71">
        <f t="shared" si="2946"/>
        <v>302</v>
      </c>
      <c r="CH386" s="70">
        <f t="shared" si="2947"/>
        <v>53</v>
      </c>
      <c r="CI386" s="71" t="str">
        <f t="shared" si="2948"/>
        <v>-</v>
      </c>
      <c r="CJ386" s="72">
        <f t="shared" si="2949"/>
        <v>86</v>
      </c>
      <c r="CK386" s="72" t="str">
        <f t="shared" si="2950"/>
        <v>-</v>
      </c>
      <c r="CL386" s="72">
        <f t="shared" si="2951"/>
        <v>128</v>
      </c>
      <c r="CM386" s="72" t="str">
        <f t="shared" si="2952"/>
        <v>-</v>
      </c>
      <c r="CN386" s="72">
        <f t="shared" si="2953"/>
        <v>162</v>
      </c>
      <c r="CO386" s="72">
        <f t="shared" si="2954"/>
        <v>177</v>
      </c>
      <c r="CP386" s="72">
        <f t="shared" si="2955"/>
        <v>223</v>
      </c>
      <c r="CQ386" s="72">
        <f t="shared" si="2956"/>
        <v>261</v>
      </c>
      <c r="CR386" s="72">
        <f t="shared" si="2957"/>
        <v>301</v>
      </c>
      <c r="CS386" s="72">
        <f t="shared" si="2958"/>
        <v>312</v>
      </c>
      <c r="CT386" s="23" t="e">
        <f t="shared" si="2959"/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si="2960"/>
        <v>p2y12_human_4PXZ</v>
      </c>
      <c r="B387" s="3" t="s">
        <v>351</v>
      </c>
      <c r="C387" s="3" t="s">
        <v>1148</v>
      </c>
      <c r="D387" s="3" t="str">
        <f>IFERROR(MID(VLOOKUP($B387,Seqs!$A:$B,2,0),E387,1),"")</f>
        <v>I</v>
      </c>
      <c r="E387" s="3">
        <v>23</v>
      </c>
      <c r="F387" s="3" t="str">
        <f>IFERROR(MID(VLOOKUP($B387,Seqs!$A:$B,2,0),G387,1),"")</f>
        <v>I</v>
      </c>
      <c r="G387" s="3">
        <v>53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S</v>
      </c>
      <c r="M387" s="3">
        <v>57</v>
      </c>
      <c r="N387" s="3" t="str">
        <f>IFERROR(MID(VLOOKUP($B387,Seqs!$A:$B,2,0),O387,1),"")</f>
        <v>K</v>
      </c>
      <c r="O387" s="3">
        <v>86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G</v>
      </c>
      <c r="U387" s="3">
        <v>90</v>
      </c>
      <c r="V387" s="3" t="str">
        <f>IFERROR(MID(VLOOKUP($B387,Seqs!$A:$B,2,0),W387,1),"")</f>
        <v>R</v>
      </c>
      <c r="W387" s="3">
        <v>128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N</v>
      </c>
      <c r="AC387" s="9">
        <v>137</v>
      </c>
      <c r="AD387" s="3" t="str">
        <f>IFERROR(MID(VLOOKUP($B387,Seqs!$A:$B,2,0),AE387,1),"")</f>
        <v>T</v>
      </c>
      <c r="AE387" s="3">
        <v>163</v>
      </c>
      <c r="AF387" s="3" t="str">
        <f>IFERROR(MID(VLOOKUP($B387,Seqs!$A:$B,2,0),AG387,1),"")</f>
        <v>C</v>
      </c>
      <c r="AG387" s="3">
        <v>175</v>
      </c>
      <c r="AH387" s="3" t="str">
        <f>IFERROR(MID(VLOOKUP($B387,Seqs!$A:$B,2,0),AI387,1),"")</f>
        <v>F</v>
      </c>
      <c r="AI387" s="3">
        <v>177</v>
      </c>
      <c r="AJ387" s="3" t="str">
        <f>IFERROR(MID(VLOOKUP($B387,Seqs!$A:$B,2,0),AK387,1),"")</f>
        <v>E</v>
      </c>
      <c r="AK387" s="3">
        <v>181</v>
      </c>
      <c r="AL387" s="3" t="str">
        <f>IFERROR(MID(VLOOKUP($B387,Seqs!$A:$B,2,0),AM387,1),"")</f>
        <v>S</v>
      </c>
      <c r="AM387" s="3">
        <v>219</v>
      </c>
      <c r="AN387" s="3" t="str">
        <f>IFERROR(MID(VLOOKUP($B387,Seqs!$A:$B,2,0),AO387,1),"")</f>
        <v>V</v>
      </c>
      <c r="AO387" s="3">
        <v>236</v>
      </c>
      <c r="AP387" s="3" t="str">
        <f>IFERROR(MID(VLOOKUP($B387,Seqs!$A:$B,2,0),AQ387,1),"")</f>
        <v>R</v>
      </c>
      <c r="AQ387" s="3">
        <v>265</v>
      </c>
      <c r="AR387" s="3" t="str">
        <f>IFERROR(MID(VLOOKUP($B387,Seqs!$A:$B,2,0),AS387,1),"")</f>
        <v>D</v>
      </c>
      <c r="AS387" s="3">
        <v>269</v>
      </c>
      <c r="AT387" s="3" t="str">
        <f>IFERROR(MID(VLOOKUP($B387,Seqs!$A:$B,2,0),AU387,1),"")</f>
        <v>C</v>
      </c>
      <c r="AU387" s="3">
        <v>292</v>
      </c>
      <c r="AV387" s="3" t="str">
        <f>IFERROR(MID(VLOOKUP($B387,Seqs!$A:$B,2,0),AW387,1),"")</f>
        <v/>
      </c>
      <c r="AW387" s="3" t="s">
        <v>23</v>
      </c>
      <c r="AX387" s="3" t="str">
        <f>IFERROR(MID(VLOOKUP($B387,Seqs!$A:$B,2,0),AY387,1),"")</f>
        <v/>
      </c>
      <c r="AY387" s="3" t="s">
        <v>23</v>
      </c>
      <c r="AZ387" s="77" t="str">
        <f>VLOOKUP(B387,Classification!A:D,2,0)</f>
        <v>A</v>
      </c>
      <c r="BA387" s="94" t="str">
        <f>VLOOKUP(B387,Classification!A:D,4,0)</f>
        <v>P2Y</v>
      </c>
      <c r="BB387" s="27" t="b">
        <f t="shared" si="2961"/>
        <v>1</v>
      </c>
      <c r="BC387" s="23">
        <f t="shared" si="2934"/>
        <v>227</v>
      </c>
      <c r="BD387" s="4" t="s">
        <v>23</v>
      </c>
      <c r="BE387" s="3" t="s">
        <v>1424</v>
      </c>
      <c r="BF387" s="118">
        <v>2.5</v>
      </c>
      <c r="BG387" s="49" t="s">
        <v>1373</v>
      </c>
      <c r="BH387" s="49" t="s">
        <v>1373</v>
      </c>
      <c r="BI387" s="1"/>
      <c r="BJ387" s="70" t="s">
        <v>1283</v>
      </c>
      <c r="BK387" s="57" t="s">
        <v>1283</v>
      </c>
      <c r="BL387" s="57" t="s">
        <v>1283</v>
      </c>
      <c r="BM387" s="57" t="s">
        <v>1283</v>
      </c>
      <c r="BN387" s="57" t="s">
        <v>1283</v>
      </c>
      <c r="BO387" s="57" t="s">
        <v>1283</v>
      </c>
      <c r="BP387" s="57" t="s">
        <v>1283</v>
      </c>
      <c r="BQ387" s="57" t="s">
        <v>1283</v>
      </c>
      <c r="BR387" s="57" t="s">
        <v>1283</v>
      </c>
      <c r="BS387" s="57" t="s">
        <v>1283</v>
      </c>
      <c r="BT387" s="57" t="s">
        <v>1283</v>
      </c>
      <c r="BU387" s="57" t="s">
        <v>1283</v>
      </c>
      <c r="BV387" s="70">
        <f t="shared" si="2935"/>
        <v>23</v>
      </c>
      <c r="BW387" s="71" t="str">
        <f t="shared" si="2936"/>
        <v>-</v>
      </c>
      <c r="BX387" s="72">
        <f t="shared" si="2937"/>
        <v>57</v>
      </c>
      <c r="BY387" s="71" t="str">
        <f t="shared" si="2938"/>
        <v>-</v>
      </c>
      <c r="BZ387" s="72">
        <f t="shared" si="2939"/>
        <v>90</v>
      </c>
      <c r="CA387" s="71" t="str">
        <f t="shared" si="2940"/>
        <v>-</v>
      </c>
      <c r="CB387" s="72">
        <f t="shared" si="2941"/>
        <v>137</v>
      </c>
      <c r="CC387" s="71">
        <f t="shared" si="2942"/>
        <v>175</v>
      </c>
      <c r="CD387" s="72">
        <f t="shared" si="2943"/>
        <v>181</v>
      </c>
      <c r="CE387" s="71">
        <f t="shared" si="2944"/>
        <v>236</v>
      </c>
      <c r="CF387" s="72">
        <f t="shared" si="2945"/>
        <v>269</v>
      </c>
      <c r="CG387" s="71" t="str">
        <f t="shared" si="2946"/>
        <v>-</v>
      </c>
      <c r="CH387" s="70">
        <f t="shared" si="2947"/>
        <v>53</v>
      </c>
      <c r="CI387" s="71" t="str">
        <f t="shared" si="2948"/>
        <v>-</v>
      </c>
      <c r="CJ387" s="72">
        <f t="shared" si="2949"/>
        <v>86</v>
      </c>
      <c r="CK387" s="72" t="str">
        <f t="shared" si="2950"/>
        <v>-</v>
      </c>
      <c r="CL387" s="72">
        <f t="shared" si="2951"/>
        <v>128</v>
      </c>
      <c r="CM387" s="72" t="str">
        <f t="shared" si="2952"/>
        <v>-</v>
      </c>
      <c r="CN387" s="72">
        <f t="shared" si="2953"/>
        <v>163</v>
      </c>
      <c r="CO387" s="72">
        <f t="shared" si="2954"/>
        <v>177</v>
      </c>
      <c r="CP387" s="72">
        <f t="shared" si="2955"/>
        <v>219</v>
      </c>
      <c r="CQ387" s="72">
        <f t="shared" si="2956"/>
        <v>265</v>
      </c>
      <c r="CR387" s="72">
        <f t="shared" si="2957"/>
        <v>292</v>
      </c>
      <c r="CS387" s="72" t="str">
        <f t="shared" si="2958"/>
        <v>-</v>
      </c>
      <c r="CT387" s="23" t="e">
        <f t="shared" si="2959"/>
        <v>#VALUE!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si="2960"/>
        <v>p2y12_human_4PY0</v>
      </c>
      <c r="B388" s="3" t="s">
        <v>351</v>
      </c>
      <c r="C388" s="3" t="s">
        <v>1046</v>
      </c>
      <c r="D388" s="3" t="str">
        <f>IFERROR(MID(VLOOKUP($B388,Seqs!$A:$B,2,0),E388,1),"")</f>
        <v>I</v>
      </c>
      <c r="E388" s="3">
        <v>23</v>
      </c>
      <c r="F388" s="3" t="str">
        <f>IFERROR(MID(VLOOKUP($B388,Seqs!$A:$B,2,0),G388,1),"")</f>
        <v>I</v>
      </c>
      <c r="G388" s="3">
        <v>53</v>
      </c>
      <c r="H388" s="3" t="str">
        <f>IFERROR(MID(VLOOKUP($B388,Seqs!$A:$B,2,0),I388,1),"")</f>
        <v/>
      </c>
      <c r="I388" s="23" t="s">
        <v>23</v>
      </c>
      <c r="J388" s="3" t="str">
        <f>IFERROR(MID(VLOOKUP($B388,Seqs!$A:$B,2,0),K388,1),"")</f>
        <v/>
      </c>
      <c r="K388" s="23" t="s">
        <v>23</v>
      </c>
      <c r="L388" s="3" t="str">
        <f>IFERROR(MID(VLOOKUP($B388,Seqs!$A:$B,2,0),M388,1),"")</f>
        <v>S</v>
      </c>
      <c r="M388" s="3">
        <v>57</v>
      </c>
      <c r="N388" s="3" t="str">
        <f>IFERROR(MID(VLOOKUP($B388,Seqs!$A:$B,2,0),O388,1),"")</f>
        <v>K</v>
      </c>
      <c r="O388" s="3">
        <v>86</v>
      </c>
      <c r="P388" s="3" t="str">
        <f>IFERROR(MID(VLOOKUP($B388,Seqs!$A:$B,2,0),Q388,1),"")</f>
        <v/>
      </c>
      <c r="Q388" s="3" t="s">
        <v>23</v>
      </c>
      <c r="R388" s="3" t="str">
        <f>IFERROR(MID(VLOOKUP($B388,Seqs!$A:$B,2,0),S388,1),"")</f>
        <v/>
      </c>
      <c r="S388" s="3" t="s">
        <v>23</v>
      </c>
      <c r="T388" s="3" t="str">
        <f>IFERROR(MID(VLOOKUP($B388,Seqs!$A:$B,2,0),U388,1),"")</f>
        <v>G</v>
      </c>
      <c r="U388" s="3">
        <v>90</v>
      </c>
      <c r="V388" s="3" t="str">
        <f>IFERROR(MID(VLOOKUP($B388,Seqs!$A:$B,2,0),W388,1),"")</f>
        <v>R</v>
      </c>
      <c r="W388" s="3">
        <v>128</v>
      </c>
      <c r="X388" s="3" t="str">
        <f>IFERROR(MID(VLOOKUP($B388,Seqs!$A:$B,2,0),Y388,1),"")</f>
        <v/>
      </c>
      <c r="Y388" s="3" t="s">
        <v>23</v>
      </c>
      <c r="Z388" s="3" t="str">
        <f>IFERROR(MID(VLOOKUP($B388,Seqs!$A:$B,2,0),AA388,1),"")</f>
        <v/>
      </c>
      <c r="AA388" s="3" t="s">
        <v>23</v>
      </c>
      <c r="AB388" s="3" t="str">
        <f>IFERROR(MID(VLOOKUP($B388,Seqs!$A:$B,2,0),AC388,1),"")</f>
        <v>N</v>
      </c>
      <c r="AC388" s="9">
        <v>137</v>
      </c>
      <c r="AD388" s="3" t="str">
        <f>IFERROR(MID(VLOOKUP($B388,Seqs!$A:$B,2,0),AE388,1),"")</f>
        <v>T</v>
      </c>
      <c r="AE388" s="3">
        <v>163</v>
      </c>
      <c r="AF388" s="3" t="str">
        <f>IFERROR(MID(VLOOKUP($B388,Seqs!$A:$B,2,0),AG388,1),"")</f>
        <v>C</v>
      </c>
      <c r="AG388" s="3">
        <v>175</v>
      </c>
      <c r="AH388" s="3" t="str">
        <f>IFERROR(MID(VLOOKUP($B388,Seqs!$A:$B,2,0),AI388,1),"")</f>
        <v>F</v>
      </c>
      <c r="AI388" s="3">
        <v>177</v>
      </c>
      <c r="AJ388" s="3" t="str">
        <f>IFERROR(MID(VLOOKUP($B388,Seqs!$A:$B,2,0),AK388,1),"")</f>
        <v>E</v>
      </c>
      <c r="AK388" s="3">
        <v>181</v>
      </c>
      <c r="AL388" s="3" t="str">
        <f>IFERROR(MID(VLOOKUP($B388,Seqs!$A:$B,2,0),AM388,1),"")</f>
        <v>S</v>
      </c>
      <c r="AM388" s="3">
        <v>219</v>
      </c>
      <c r="AN388" s="3" t="str">
        <f>IFERROR(MID(VLOOKUP($B388,Seqs!$A:$B,2,0),AO388,1),"")</f>
        <v>V</v>
      </c>
      <c r="AO388" s="3">
        <v>236</v>
      </c>
      <c r="AP388" s="3" t="str">
        <f>IFERROR(MID(VLOOKUP($B388,Seqs!$A:$B,2,0),AQ388,1),"")</f>
        <v>R</v>
      </c>
      <c r="AQ388" s="3">
        <v>265</v>
      </c>
      <c r="AR388" s="3" t="str">
        <f>IFERROR(MID(VLOOKUP($B388,Seqs!$A:$B,2,0),AS388,1),"")</f>
        <v>D</v>
      </c>
      <c r="AS388" s="3">
        <v>269</v>
      </c>
      <c r="AT388" s="3" t="str">
        <f>IFERROR(MID(VLOOKUP($B388,Seqs!$A:$B,2,0),AU388,1),"")</f>
        <v>C</v>
      </c>
      <c r="AU388" s="3">
        <v>292</v>
      </c>
      <c r="AV388" s="3" t="str">
        <f>IFERROR(MID(VLOOKUP($B388,Seqs!$A:$B,2,0),AW388,1),"")</f>
        <v/>
      </c>
      <c r="AW388" s="3" t="s">
        <v>23</v>
      </c>
      <c r="AX388" s="3" t="str">
        <f>IFERROR(MID(VLOOKUP($B388,Seqs!$A:$B,2,0),AY388,1),"")</f>
        <v/>
      </c>
      <c r="AY388" s="3" t="s">
        <v>23</v>
      </c>
      <c r="AZ388" s="77" t="str">
        <f>VLOOKUP(B388,Classification!A:D,2,0)</f>
        <v>A</v>
      </c>
      <c r="BA388" s="94" t="str">
        <f>VLOOKUP(B388,Classification!A:D,4,0)</f>
        <v>P2Y</v>
      </c>
      <c r="BB388" s="27" t="b">
        <f t="shared" si="2961"/>
        <v>1</v>
      </c>
      <c r="BC388" s="23">
        <f t="shared" si="2934"/>
        <v>227</v>
      </c>
      <c r="BD388" s="4" t="s">
        <v>23</v>
      </c>
      <c r="BE388" s="3" t="s">
        <v>1424</v>
      </c>
      <c r="BF388" s="118">
        <v>3.1</v>
      </c>
      <c r="BG388" s="49" t="s">
        <v>1373</v>
      </c>
      <c r="BH388" s="49" t="s">
        <v>1373</v>
      </c>
      <c r="BI388" s="1"/>
      <c r="BJ388" s="70" t="s">
        <v>1283</v>
      </c>
      <c r="BK388" s="57" t="s">
        <v>1283</v>
      </c>
      <c r="BL388" s="57" t="s">
        <v>1283</v>
      </c>
      <c r="BM388" s="57" t="s">
        <v>1283</v>
      </c>
      <c r="BN388" s="57" t="s">
        <v>1283</v>
      </c>
      <c r="BO388" s="57" t="s">
        <v>1283</v>
      </c>
      <c r="BP388" s="57" t="s">
        <v>1283</v>
      </c>
      <c r="BQ388" s="57" t="s">
        <v>1283</v>
      </c>
      <c r="BR388" s="57" t="s">
        <v>1283</v>
      </c>
      <c r="BS388" s="57" t="s">
        <v>1283</v>
      </c>
      <c r="BT388" s="57" t="s">
        <v>1283</v>
      </c>
      <c r="BU388" s="57" t="s">
        <v>1283</v>
      </c>
      <c r="BV388" s="70">
        <f t="shared" si="2935"/>
        <v>23</v>
      </c>
      <c r="BW388" s="71" t="str">
        <f t="shared" si="2936"/>
        <v>-</v>
      </c>
      <c r="BX388" s="72">
        <f t="shared" si="2937"/>
        <v>57</v>
      </c>
      <c r="BY388" s="71" t="str">
        <f t="shared" si="2938"/>
        <v>-</v>
      </c>
      <c r="BZ388" s="72">
        <f t="shared" si="2939"/>
        <v>90</v>
      </c>
      <c r="CA388" s="71" t="str">
        <f t="shared" si="2940"/>
        <v>-</v>
      </c>
      <c r="CB388" s="72">
        <f t="shared" si="2941"/>
        <v>137</v>
      </c>
      <c r="CC388" s="71">
        <f t="shared" si="2942"/>
        <v>175</v>
      </c>
      <c r="CD388" s="72">
        <f t="shared" si="2943"/>
        <v>181</v>
      </c>
      <c r="CE388" s="71">
        <f t="shared" si="2944"/>
        <v>236</v>
      </c>
      <c r="CF388" s="72">
        <f t="shared" si="2945"/>
        <v>269</v>
      </c>
      <c r="CG388" s="71" t="str">
        <f t="shared" si="2946"/>
        <v>-</v>
      </c>
      <c r="CH388" s="70">
        <f t="shared" si="2947"/>
        <v>53</v>
      </c>
      <c r="CI388" s="71" t="str">
        <f t="shared" si="2948"/>
        <v>-</v>
      </c>
      <c r="CJ388" s="72">
        <f t="shared" si="2949"/>
        <v>86</v>
      </c>
      <c r="CK388" s="72" t="str">
        <f t="shared" si="2950"/>
        <v>-</v>
      </c>
      <c r="CL388" s="72">
        <f t="shared" si="2951"/>
        <v>128</v>
      </c>
      <c r="CM388" s="72" t="str">
        <f t="shared" si="2952"/>
        <v>-</v>
      </c>
      <c r="CN388" s="72">
        <f t="shared" si="2953"/>
        <v>163</v>
      </c>
      <c r="CO388" s="72">
        <f t="shared" si="2954"/>
        <v>177</v>
      </c>
      <c r="CP388" s="72">
        <f t="shared" si="2955"/>
        <v>219</v>
      </c>
      <c r="CQ388" s="72">
        <f t="shared" si="2956"/>
        <v>265</v>
      </c>
      <c r="CR388" s="72">
        <f t="shared" si="2957"/>
        <v>292</v>
      </c>
      <c r="CS388" s="72" t="str">
        <f t="shared" si="2958"/>
        <v>-</v>
      </c>
      <c r="CT388" s="23" t="e">
        <f t="shared" si="2959"/>
        <v>#VALUE!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si="2960"/>
        <v>par1_human__wt</v>
      </c>
      <c r="B389" s="3" t="s">
        <v>354</v>
      </c>
      <c r="C389" s="3" t="s">
        <v>100</v>
      </c>
      <c r="D389" s="3" t="str">
        <f>IFERROR(MID(VLOOKUP($B389,Seqs!$A:$B,2,0),E389,1),"")</f>
        <v>S</v>
      </c>
      <c r="E389" s="3">
        <v>99</v>
      </c>
      <c r="F389" s="3" t="str">
        <f>IFERROR(MID(VLOOKUP($B389,Seqs!$A:$B,2,0),G389,1),"")</f>
        <v>K</v>
      </c>
      <c r="G389" s="3">
        <v>130</v>
      </c>
      <c r="H389" s="3" t="str">
        <f>IFERROR(MID(VLOOKUP($B389,Seqs!$A:$B,2,0),I389,1),"")</f>
        <v>M</v>
      </c>
      <c r="I389" s="23">
        <v>131</v>
      </c>
      <c r="J389" s="3" t="str">
        <f>IFERROR(MID(VLOOKUP($B389,Seqs!$A:$B,2,0),K389,1),"")</f>
        <v>K</v>
      </c>
      <c r="K389" s="23">
        <v>134</v>
      </c>
      <c r="L389" s="3" t="str">
        <f>IFERROR(MID(VLOOKUP($B389,Seqs!$A:$B,2,0),M389,1),"")</f>
        <v>K</v>
      </c>
      <c r="M389" s="3">
        <v>135</v>
      </c>
      <c r="N389" s="3" t="str">
        <f>IFERROR(MID(VLOOKUP($B389,Seqs!$A:$B,2,0),O389,1),"")</f>
        <v>S</v>
      </c>
      <c r="O389" s="3">
        <v>164</v>
      </c>
      <c r="P389" s="3" t="str">
        <f>IFERROR(MID(VLOOKUP($B389,Seqs!$A:$B,2,0),Q389,1),"")</f>
        <v>D</v>
      </c>
      <c r="Q389" s="3">
        <v>167</v>
      </c>
      <c r="R389" s="3" t="str">
        <f>IFERROR(MID(VLOOKUP($B389,Seqs!$A:$B,2,0),S389,1),"")</f>
        <v>F</v>
      </c>
      <c r="S389" s="3">
        <v>170</v>
      </c>
      <c r="T389" s="3" t="str">
        <f>IFERROR(MID(VLOOKUP($B389,Seqs!$A:$B,2,0),U389,1),"")</f>
        <v>G</v>
      </c>
      <c r="U389" s="3">
        <v>171</v>
      </c>
      <c r="V389" s="3" t="str">
        <f>IFERROR(MID(VLOOKUP($B389,Seqs!$A:$B,2,0),W389,1),"")</f>
        <v>Y</v>
      </c>
      <c r="W389" s="3">
        <v>206</v>
      </c>
      <c r="X389" s="3" t="str">
        <f>IFERROR(MID(VLOOKUP($B389,Seqs!$A:$B,2,0),Y389,1),"")</f>
        <v>P</v>
      </c>
      <c r="Y389" s="3">
        <v>207</v>
      </c>
      <c r="Z389" s="3" t="str">
        <f>IFERROR(MID(VLOOKUP($B389,Seqs!$A:$B,2,0),AA389,1),"")</f>
        <v>R</v>
      </c>
      <c r="AA389" s="3">
        <v>214</v>
      </c>
      <c r="AB389" s="3" t="str">
        <f>IFERROR(MID(VLOOKUP($B389,Seqs!$A:$B,2,0),AC389,1),"")</f>
        <v>T</v>
      </c>
      <c r="AC389" s="9">
        <v>215</v>
      </c>
      <c r="AD389" s="3" t="str">
        <f>IFERROR(MID(VLOOKUP($B389,Seqs!$A:$B,2,0),AE389,1),"")</f>
        <v>K</v>
      </c>
      <c r="AE389" s="3">
        <v>240</v>
      </c>
      <c r="AF389" s="3" t="str">
        <f>IFERROR(MID(VLOOKUP($B389,Seqs!$A:$B,2,0),AG389,1),"")</f>
        <v>C</v>
      </c>
      <c r="AG389" s="3">
        <v>254</v>
      </c>
      <c r="AH389" s="3" t="str">
        <f>IFERROR(MID(VLOOKUP($B389,Seqs!$A:$B,2,0),AI389,1),"")</f>
        <v>D</v>
      </c>
      <c r="AI389" s="3">
        <v>256</v>
      </c>
      <c r="AJ389" s="3" t="str">
        <f>IFERROR(MID(VLOOKUP($B389,Seqs!$A:$B,2,0),AK389,1),"")</f>
        <v>E</v>
      </c>
      <c r="AK389" s="3">
        <v>264</v>
      </c>
      <c r="AL389" s="3" t="str">
        <f>IFERROR(MID(VLOOKUP($B389,Seqs!$A:$B,2,0),AM389,1),"")</f>
        <v>S</v>
      </c>
      <c r="AM389" s="3">
        <v>299</v>
      </c>
      <c r="AN389" s="3" t="str">
        <f>IFERROR(MID(VLOOKUP($B389,Seqs!$A:$B,2,0),AO389,1),"")</f>
        <v>N</v>
      </c>
      <c r="AO389" s="3">
        <v>304</v>
      </c>
      <c r="AP389" s="3" t="str">
        <f>IFERROR(MID(VLOOKUP($B389,Seqs!$A:$B,2,0),AQ389,1),"")</f>
        <v>L</v>
      </c>
      <c r="AQ389" s="3">
        <v>340</v>
      </c>
      <c r="AR389" s="3" t="str">
        <f>IFERROR(MID(VLOOKUP($B389,Seqs!$A:$B,2,0),AS389,1),"")</f>
        <v>T</v>
      </c>
      <c r="AS389" s="3">
        <v>346</v>
      </c>
      <c r="AT389" s="3" t="str">
        <f>IFERROR(MID(VLOOKUP($B389,Seqs!$A:$B,2,0),AU389,1),"")</f>
        <v>A</v>
      </c>
      <c r="AU389" s="3">
        <v>374</v>
      </c>
      <c r="AV389" s="3" t="str">
        <f>IFERROR(MID(VLOOKUP($B389,Seqs!$A:$B,2,0),AW389,1),"")</f>
        <v>S</v>
      </c>
      <c r="AW389" s="3">
        <v>375</v>
      </c>
      <c r="AX389" s="3" t="str">
        <f>IFERROR(MID(VLOOKUP($B389,Seqs!$A:$B,2,0),AY389,1),"")</f>
        <v>K</v>
      </c>
      <c r="AY389" s="3">
        <v>389</v>
      </c>
      <c r="AZ389" s="77" t="str">
        <f>VLOOKUP(B389,Classification!A:D,2,0)</f>
        <v>A</v>
      </c>
      <c r="BA389" s="94" t="str">
        <f>VLOOKUP(B389,Classification!A:D,4,0)</f>
        <v>Proteinase-activated</v>
      </c>
      <c r="BB389" s="27" t="b">
        <f t="shared" si="2961"/>
        <v>1</v>
      </c>
      <c r="BC389" s="23">
        <f t="shared" si="2934"/>
        <v>260</v>
      </c>
      <c r="BD389" s="56" t="s">
        <v>23</v>
      </c>
      <c r="BE389" s="3" t="s">
        <v>23</v>
      </c>
      <c r="BF389" s="118" t="s">
        <v>23</v>
      </c>
      <c r="BG389" s="49" t="s">
        <v>1368</v>
      </c>
      <c r="BH389" s="49" t="s">
        <v>1373</v>
      </c>
      <c r="BI389" s="1"/>
      <c r="BJ389" s="70" t="s">
        <v>1283</v>
      </c>
      <c r="BK389" s="57" t="s">
        <v>1283</v>
      </c>
      <c r="BL389" s="57" t="s">
        <v>1283</v>
      </c>
      <c r="BM389" s="57" t="s">
        <v>1283</v>
      </c>
      <c r="BN389" s="57" t="s">
        <v>1283</v>
      </c>
      <c r="BO389" s="57" t="s">
        <v>1283</v>
      </c>
      <c r="BP389" s="57" t="s">
        <v>1283</v>
      </c>
      <c r="BQ389" s="57" t="s">
        <v>1283</v>
      </c>
      <c r="BR389" s="57" t="s">
        <v>1283</v>
      </c>
      <c r="BS389" s="57" t="s">
        <v>1283</v>
      </c>
      <c r="BT389" s="57" t="s">
        <v>1283</v>
      </c>
      <c r="BU389" s="57" t="s">
        <v>1283</v>
      </c>
      <c r="BV389" s="70">
        <f t="shared" si="2935"/>
        <v>99</v>
      </c>
      <c r="BW389" s="71">
        <f t="shared" si="2936"/>
        <v>131</v>
      </c>
      <c r="BX389" s="72">
        <f t="shared" si="2937"/>
        <v>135</v>
      </c>
      <c r="BY389" s="71">
        <f t="shared" si="2938"/>
        <v>167</v>
      </c>
      <c r="BZ389" s="72">
        <f t="shared" si="2939"/>
        <v>171</v>
      </c>
      <c r="CA389" s="71">
        <f t="shared" si="2940"/>
        <v>207</v>
      </c>
      <c r="CB389" s="72">
        <f t="shared" si="2941"/>
        <v>215</v>
      </c>
      <c r="CC389" s="71">
        <f t="shared" si="2942"/>
        <v>254</v>
      </c>
      <c r="CD389" s="72">
        <f t="shared" si="2943"/>
        <v>264</v>
      </c>
      <c r="CE389" s="71">
        <f t="shared" si="2944"/>
        <v>304</v>
      </c>
      <c r="CF389" s="72">
        <f t="shared" si="2945"/>
        <v>346</v>
      </c>
      <c r="CG389" s="71">
        <f t="shared" si="2946"/>
        <v>375</v>
      </c>
      <c r="CH389" s="70">
        <f t="shared" si="2947"/>
        <v>130</v>
      </c>
      <c r="CI389" s="71">
        <f t="shared" si="2948"/>
        <v>134</v>
      </c>
      <c r="CJ389" s="72">
        <f t="shared" si="2949"/>
        <v>164</v>
      </c>
      <c r="CK389" s="72">
        <f t="shared" si="2950"/>
        <v>170</v>
      </c>
      <c r="CL389" s="72">
        <f t="shared" si="2951"/>
        <v>206</v>
      </c>
      <c r="CM389" s="72">
        <f t="shared" si="2952"/>
        <v>214</v>
      </c>
      <c r="CN389" s="72">
        <f t="shared" si="2953"/>
        <v>240</v>
      </c>
      <c r="CO389" s="72">
        <f t="shared" si="2954"/>
        <v>256</v>
      </c>
      <c r="CP389" s="72">
        <f t="shared" si="2955"/>
        <v>299</v>
      </c>
      <c r="CQ389" s="72">
        <f t="shared" si="2956"/>
        <v>340</v>
      </c>
      <c r="CR389" s="72">
        <f t="shared" si="2957"/>
        <v>374</v>
      </c>
      <c r="CS389" s="72">
        <f t="shared" si="2958"/>
        <v>389</v>
      </c>
      <c r="CT389" s="23">
        <f t="shared" si="2959"/>
        <v>1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x14ac:dyDescent="0.2">
      <c r="A390" s="3" t="str">
        <f t="shared" si="2960"/>
        <v>par1_human_3VW7</v>
      </c>
      <c r="B390" s="3" t="s">
        <v>354</v>
      </c>
      <c r="C390" s="3" t="s">
        <v>93</v>
      </c>
      <c r="D390" s="3" t="str">
        <f>IFERROR(MID(VLOOKUP($B390,Seqs!$A:$B,2,0),E390,1),"")</f>
        <v>S</v>
      </c>
      <c r="E390" s="3">
        <v>99</v>
      </c>
      <c r="F390" s="3" t="str">
        <f>IFERROR(MID(VLOOKUP($B390,Seqs!$A:$B,2,0),G390,1),"")</f>
        <v>K</v>
      </c>
      <c r="G390" s="3">
        <v>130</v>
      </c>
      <c r="H390" s="3" t="str">
        <f>IFERROR(MID(VLOOKUP($B390,Seqs!$A:$B,2,0),I390,1),"")</f>
        <v/>
      </c>
      <c r="I390" s="23" t="s">
        <v>23</v>
      </c>
      <c r="J390" s="3" t="str">
        <f>IFERROR(MID(VLOOKUP($B390,Seqs!$A:$B,2,0),K390,1),"")</f>
        <v/>
      </c>
      <c r="K390" s="23" t="s">
        <v>23</v>
      </c>
      <c r="L390" s="3" t="str">
        <f>IFERROR(MID(VLOOKUP($B390,Seqs!$A:$B,2,0),M390,1),"")</f>
        <v>K</v>
      </c>
      <c r="M390" s="3">
        <v>135</v>
      </c>
      <c r="N390" s="3" t="str">
        <f>IFERROR(MID(VLOOKUP($B390,Seqs!$A:$B,2,0),O390,1),"")</f>
        <v>S</v>
      </c>
      <c r="O390" s="3">
        <v>164</v>
      </c>
      <c r="P390" s="3" t="str">
        <f>IFERROR(MID(VLOOKUP($B390,Seqs!$A:$B,2,0),Q390,1),"")</f>
        <v>D</v>
      </c>
      <c r="Q390" s="3">
        <v>167</v>
      </c>
      <c r="R390" s="3" t="str">
        <f>IFERROR(MID(VLOOKUP($B390,Seqs!$A:$B,2,0),S390,1),"")</f>
        <v>F</v>
      </c>
      <c r="S390" s="3">
        <v>170</v>
      </c>
      <c r="T390" s="3" t="str">
        <f>IFERROR(MID(VLOOKUP($B390,Seqs!$A:$B,2,0),U390,1),"")</f>
        <v>G</v>
      </c>
      <c r="U390" s="3">
        <v>171</v>
      </c>
      <c r="V390" s="3" t="str">
        <f>IFERROR(MID(VLOOKUP($B390,Seqs!$A:$B,2,0),W390,1),"")</f>
        <v>Y</v>
      </c>
      <c r="W390" s="3">
        <v>206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T</v>
      </c>
      <c r="AC390" s="9">
        <v>215</v>
      </c>
      <c r="AD390" s="3" t="str">
        <f>IFERROR(MID(VLOOKUP($B390,Seqs!$A:$B,2,0),AE390,1),"")</f>
        <v>K</v>
      </c>
      <c r="AE390" s="3">
        <v>240</v>
      </c>
      <c r="AF390" s="3" t="str">
        <f>IFERROR(MID(VLOOKUP($B390,Seqs!$A:$B,2,0),AG390,1),"")</f>
        <v>C</v>
      </c>
      <c r="AG390" s="3">
        <v>254</v>
      </c>
      <c r="AH390" s="3" t="str">
        <f>IFERROR(MID(VLOOKUP($B390,Seqs!$A:$B,2,0),AI390,1),"")</f>
        <v>D</v>
      </c>
      <c r="AI390" s="3">
        <v>256</v>
      </c>
      <c r="AJ390" s="3" t="str">
        <f>IFERROR(MID(VLOOKUP($B390,Seqs!$A:$B,2,0),AK390,1),"")</f>
        <v>E</v>
      </c>
      <c r="AK390" s="3">
        <v>264</v>
      </c>
      <c r="AL390" s="3" t="str">
        <f>IFERROR(MID(VLOOKUP($B390,Seqs!$A:$B,2,0),AM390,1),"")</f>
        <v>S</v>
      </c>
      <c r="AM390" s="3">
        <v>300</v>
      </c>
      <c r="AN390" s="3" t="str">
        <f>IFERROR(MID(VLOOKUP($B390,Seqs!$A:$B,2,0),AO390,1),"")</f>
        <v>N</v>
      </c>
      <c r="AO390" s="3">
        <v>304</v>
      </c>
      <c r="AP390" s="3" t="str">
        <f>IFERROR(MID(VLOOKUP($B390,Seqs!$A:$B,2,0),AQ390,1),"")</f>
        <v>L</v>
      </c>
      <c r="AQ390" s="3">
        <v>340</v>
      </c>
      <c r="AR390" s="3" t="str">
        <f>IFERROR(MID(VLOOKUP($B390,Seqs!$A:$B,2,0),AS390,1),"")</f>
        <v>T</v>
      </c>
      <c r="AS390" s="3">
        <v>346</v>
      </c>
      <c r="AT390" s="3" t="str">
        <f>IFERROR(MID(VLOOKUP($B390,Seqs!$A:$B,2,0),AU390,1),"")</f>
        <v>Y</v>
      </c>
      <c r="AU390" s="3">
        <v>372</v>
      </c>
      <c r="AV390" s="3" t="str">
        <f>IFERROR(MID(VLOOKUP($B390,Seqs!$A:$B,2,0),AW390,1),"")</f>
        <v/>
      </c>
      <c r="AW390" s="3" t="s">
        <v>23</v>
      </c>
      <c r="AX390" s="3" t="str">
        <f>IFERROR(MID(VLOOKUP($B390,Seqs!$A:$B,2,0),AY390,1),"")</f>
        <v/>
      </c>
      <c r="AY390" s="3" t="s">
        <v>23</v>
      </c>
      <c r="AZ390" s="77" t="str">
        <f>VLOOKUP(B390,Classification!A:D,2,0)</f>
        <v>A</v>
      </c>
      <c r="BA390" s="94" t="str">
        <f>VLOOKUP(B390,Classification!A:D,4,0)</f>
        <v>Proteinase-activated</v>
      </c>
      <c r="BB390" s="27" t="b">
        <f t="shared" si="2961"/>
        <v>1</v>
      </c>
      <c r="BC390" s="23">
        <f t="shared" si="2934"/>
        <v>235</v>
      </c>
      <c r="BD390" s="2" t="s">
        <v>1425</v>
      </c>
      <c r="BE390" s="3" t="s">
        <v>1424</v>
      </c>
      <c r="BF390" s="118">
        <v>2.2000000000000002</v>
      </c>
      <c r="BG390" s="49" t="s">
        <v>1373</v>
      </c>
      <c r="BH390" s="49" t="s">
        <v>1373</v>
      </c>
      <c r="BI390" s="1"/>
      <c r="BJ390" s="70" t="s">
        <v>1283</v>
      </c>
      <c r="BK390" s="57" t="s">
        <v>1283</v>
      </c>
      <c r="BL390" s="57" t="s">
        <v>1283</v>
      </c>
      <c r="BM390" s="57" t="s">
        <v>1283</v>
      </c>
      <c r="BN390" s="57" t="s">
        <v>1283</v>
      </c>
      <c r="BO390" s="57" t="s">
        <v>1283</v>
      </c>
      <c r="BP390" s="57" t="s">
        <v>1283</v>
      </c>
      <c r="BQ390" s="57" t="s">
        <v>1283</v>
      </c>
      <c r="BR390" s="57" t="s">
        <v>1283</v>
      </c>
      <c r="BS390" s="57" t="s">
        <v>1283</v>
      </c>
      <c r="BT390" s="57" t="s">
        <v>1283</v>
      </c>
      <c r="BU390" s="57" t="s">
        <v>1283</v>
      </c>
      <c r="BV390" s="70">
        <f t="shared" si="2935"/>
        <v>99</v>
      </c>
      <c r="BW390" s="71" t="str">
        <f t="shared" si="2936"/>
        <v>-</v>
      </c>
      <c r="BX390" s="72">
        <f t="shared" si="2937"/>
        <v>135</v>
      </c>
      <c r="BY390" s="71">
        <f t="shared" si="2938"/>
        <v>167</v>
      </c>
      <c r="BZ390" s="72">
        <f t="shared" si="2939"/>
        <v>171</v>
      </c>
      <c r="CA390" s="71" t="str">
        <f t="shared" si="2940"/>
        <v>-</v>
      </c>
      <c r="CB390" s="72">
        <f t="shared" si="2941"/>
        <v>215</v>
      </c>
      <c r="CC390" s="71">
        <f t="shared" si="2942"/>
        <v>254</v>
      </c>
      <c r="CD390" s="72">
        <f t="shared" si="2943"/>
        <v>264</v>
      </c>
      <c r="CE390" s="71">
        <f t="shared" si="2944"/>
        <v>304</v>
      </c>
      <c r="CF390" s="72">
        <f t="shared" si="2945"/>
        <v>346</v>
      </c>
      <c r="CG390" s="71" t="str">
        <f t="shared" si="2946"/>
        <v>-</v>
      </c>
      <c r="CH390" s="70">
        <f t="shared" si="2947"/>
        <v>130</v>
      </c>
      <c r="CI390" s="71" t="str">
        <f t="shared" si="2948"/>
        <v>-</v>
      </c>
      <c r="CJ390" s="72">
        <f t="shared" si="2949"/>
        <v>164</v>
      </c>
      <c r="CK390" s="72">
        <f t="shared" si="2950"/>
        <v>170</v>
      </c>
      <c r="CL390" s="72">
        <f t="shared" si="2951"/>
        <v>206</v>
      </c>
      <c r="CM390" s="72" t="str">
        <f t="shared" si="2952"/>
        <v>-</v>
      </c>
      <c r="CN390" s="72">
        <f t="shared" si="2953"/>
        <v>240</v>
      </c>
      <c r="CO390" s="72">
        <f t="shared" si="2954"/>
        <v>256</v>
      </c>
      <c r="CP390" s="72">
        <f t="shared" si="2955"/>
        <v>300</v>
      </c>
      <c r="CQ390" s="72">
        <f t="shared" si="2956"/>
        <v>340</v>
      </c>
      <c r="CR390" s="72">
        <f t="shared" si="2957"/>
        <v>372</v>
      </c>
      <c r="CS390" s="72" t="str">
        <f t="shared" si="2958"/>
        <v>-</v>
      </c>
      <c r="CT390" s="23" t="e">
        <f t="shared" si="2959"/>
        <v>#VALUE!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x14ac:dyDescent="0.2">
      <c r="A391" s="3" t="str">
        <f t="shared" ref="A391:A410" si="3606">CONCATENATE(B391,"_",C391)</f>
        <v>par2_human__wt</v>
      </c>
      <c r="B391" s="3" t="s">
        <v>355</v>
      </c>
      <c r="C391" s="3" t="s">
        <v>100</v>
      </c>
      <c r="D391" s="3" t="str">
        <f>IFERROR(MID(VLOOKUP($B391,Seqs!$A:$B,2,0),E391,1),"")</f>
        <v>G</v>
      </c>
      <c r="E391" s="3">
        <v>71</v>
      </c>
      <c r="F391" s="3" t="str">
        <f>IFERROR(MID(VLOOKUP($B391,Seqs!$A:$B,2,0),G391,1),"")</f>
        <v>R</v>
      </c>
      <c r="G391" s="3">
        <v>103</v>
      </c>
      <c r="H391" s="3" t="str">
        <f>IFERROR(MID(VLOOKUP($B391,Seqs!$A:$B,2,0),I391,1),"")</f>
        <v/>
      </c>
      <c r="I391" s="23" t="s">
        <v>23</v>
      </c>
      <c r="J391" s="3" t="str">
        <f>IFERROR(MID(VLOOKUP($B391,Seqs!$A:$B,2,0),K391,1),"")</f>
        <v/>
      </c>
      <c r="K391" s="23" t="s">
        <v>23</v>
      </c>
      <c r="L391" s="3" t="str">
        <f>IFERROR(MID(VLOOKUP($B391,Seqs!$A:$B,2,0),M391,1),"")</f>
        <v>H</v>
      </c>
      <c r="M391" s="3">
        <v>108</v>
      </c>
      <c r="N391" s="3" t="str">
        <f>IFERROR(MID(VLOOKUP($B391,Seqs!$A:$B,2,0),O391,1),"")</f>
        <v>H</v>
      </c>
      <c r="O391" s="3">
        <v>137</v>
      </c>
      <c r="P391" s="3" t="str">
        <f>IFERROR(MID(VLOOKUP($B391,Seqs!$A:$B,2,0),Q391,1),"")</f>
        <v>G</v>
      </c>
      <c r="Q391" s="3">
        <v>138</v>
      </c>
      <c r="R391" s="3" t="str">
        <f>IFERROR(MID(VLOOKUP($B391,Seqs!$A:$B,2,0),S391,1),"")</f>
        <v>Y</v>
      </c>
      <c r="S391" s="3">
        <v>143</v>
      </c>
      <c r="T391" s="3" t="str">
        <f>IFERROR(MID(VLOOKUP($B391,Seqs!$A:$B,2,0),U391,1),"")</f>
        <v>G</v>
      </c>
      <c r="U391" s="3">
        <v>144</v>
      </c>
      <c r="V391" s="3" t="str">
        <f>IFERROR(MID(VLOOKUP($B391,Seqs!$A:$B,2,0),W391,1),"")</f>
        <v>N</v>
      </c>
      <c r="W391" s="3">
        <v>179</v>
      </c>
      <c r="X391" s="3" t="str">
        <f>IFERROR(MID(VLOOKUP($B391,Seqs!$A:$B,2,0),Y391,1),"")</f>
        <v>P</v>
      </c>
      <c r="Y391" s="3">
        <v>180</v>
      </c>
      <c r="Z391" s="3" t="str">
        <f>IFERROR(MID(VLOOKUP($B391,Seqs!$A:$B,2,0),AA391,1),"")</f>
        <v>K</v>
      </c>
      <c r="AA391" s="3">
        <v>186</v>
      </c>
      <c r="AB391" s="3" t="str">
        <f>IFERROR(MID(VLOOKUP($B391,Seqs!$A:$B,2,0),AC391,1),"")</f>
        <v>K</v>
      </c>
      <c r="AC391" s="3">
        <v>187</v>
      </c>
      <c r="AD391" s="3" t="str">
        <f>IFERROR(MID(VLOOKUP($B391,Seqs!$A:$B,2,0),AE391,1),"")</f>
        <v>V</v>
      </c>
      <c r="AE391" s="3">
        <v>211</v>
      </c>
      <c r="AF391" s="3" t="str">
        <f>IFERROR(MID(VLOOKUP($B391,Seqs!$A:$B,2,0),AG391,1),"")</f>
        <v>C</v>
      </c>
      <c r="AG391" s="3">
        <v>226</v>
      </c>
      <c r="AH391" s="3" t="str">
        <f>IFERROR(MID(VLOOKUP($B391,Seqs!$A:$B,2,0),AI391,1),"")</f>
        <v>D</v>
      </c>
      <c r="AI391" s="3">
        <v>228</v>
      </c>
      <c r="AJ391" s="3" t="str">
        <f>IFERROR(MID(VLOOKUP($B391,Seqs!$A:$B,2,0),AK391,1),"")</f>
        <v>L</v>
      </c>
      <c r="AK391" s="3">
        <v>235</v>
      </c>
      <c r="AL391" s="3" t="str">
        <f>IFERROR(MID(VLOOKUP($B391,Seqs!$A:$B,2,0),AM391,1),"")</f>
        <v>S</v>
      </c>
      <c r="AM391" s="3">
        <v>272</v>
      </c>
      <c r="AN391" s="3" t="str">
        <f>IFERROR(MID(VLOOKUP($B391,Seqs!$A:$B,2,0),AO391,1),"")</f>
        <v>S</v>
      </c>
      <c r="AO391" s="3">
        <v>278</v>
      </c>
      <c r="AP391" s="3" t="str">
        <f>IFERROR(MID(VLOOKUP($B391,Seqs!$A:$B,2,0),AQ391,1),"")</f>
        <v>Q</v>
      </c>
      <c r="AQ391" s="3">
        <v>317</v>
      </c>
      <c r="AR391" s="3" t="str">
        <f>IFERROR(MID(VLOOKUP($B391,Seqs!$A:$B,2,0),AS391,1),"")</f>
        <v>V</v>
      </c>
      <c r="AS391" s="3">
        <v>322</v>
      </c>
      <c r="AT391" s="3" t="str">
        <f>IFERROR(MID(VLOOKUP($B391,Seqs!$A:$B,2,0),AU391,1),"")</f>
        <v>V</v>
      </c>
      <c r="AU391" s="3">
        <v>347</v>
      </c>
      <c r="AV391" s="3" t="str">
        <f>IFERROR(MID(VLOOKUP($B391,Seqs!$A:$B,2,0),AW391,1),"")</f>
        <v>S</v>
      </c>
      <c r="AW391" s="3">
        <v>348</v>
      </c>
      <c r="AX391" s="3" t="str">
        <f>IFERROR(MID(VLOOKUP($B391,Seqs!$A:$B,2,0),AY391,1),"")</f>
        <v>R</v>
      </c>
      <c r="AY391" s="3">
        <v>362</v>
      </c>
      <c r="AZ391" s="77" t="str">
        <f>VLOOKUP(B391,Classification!A:D,2,0)</f>
        <v>A</v>
      </c>
      <c r="BA391" s="94" t="str">
        <f>VLOOKUP(B391,Classification!A:D,4,0)</f>
        <v>Proteinase-activated</v>
      </c>
      <c r="BB391" s="27" t="b">
        <f t="shared" ref="BB391:BB410" si="3607"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23">
        <f t="shared" ref="BC391:BC410" si="3608">_xlfn.AGGREGATE(9,6,CH391:CS391)-_xlfn.AGGREGATE(9,6,BV391:CG391)+12</f>
        <v>260</v>
      </c>
      <c r="BD391" s="2" t="s">
        <v>23</v>
      </c>
      <c r="BE391" s="3" t="s">
        <v>23</v>
      </c>
      <c r="BF391" s="118" t="s">
        <v>23</v>
      </c>
      <c r="BG391" s="49" t="s">
        <v>1373</v>
      </c>
      <c r="BH391" s="49" t="s">
        <v>1373</v>
      </c>
      <c r="BI391" s="1"/>
      <c r="BJ391" s="70" t="s">
        <v>1283</v>
      </c>
      <c r="BK391" s="57" t="s">
        <v>1283</v>
      </c>
      <c r="BL391" s="57" t="s">
        <v>1283</v>
      </c>
      <c r="BM391" s="57" t="s">
        <v>1283</v>
      </c>
      <c r="BN391" s="57" t="s">
        <v>1283</v>
      </c>
      <c r="BO391" s="57" t="s">
        <v>1283</v>
      </c>
      <c r="BP391" s="57" t="s">
        <v>1283</v>
      </c>
      <c r="BQ391" s="57" t="s">
        <v>1283</v>
      </c>
      <c r="BR391" s="57" t="s">
        <v>1283</v>
      </c>
      <c r="BS391" s="57" t="s">
        <v>1283</v>
      </c>
      <c r="BT391" s="57" t="s">
        <v>1283</v>
      </c>
      <c r="BU391" s="57" t="s">
        <v>1283</v>
      </c>
      <c r="BV391" s="70">
        <f t="shared" ref="BV391:BV410" si="3609">E391</f>
        <v>71</v>
      </c>
      <c r="BW391" s="71" t="str">
        <f t="shared" ref="BW391:BW410" si="3610">I391</f>
        <v>-</v>
      </c>
      <c r="BX391" s="72">
        <f t="shared" ref="BX391:BX410" si="3611">M391</f>
        <v>108</v>
      </c>
      <c r="BY391" s="71">
        <f t="shared" ref="BY391:BY410" si="3612">Q391</f>
        <v>138</v>
      </c>
      <c r="BZ391" s="72">
        <f t="shared" ref="BZ391:BZ410" si="3613">U391</f>
        <v>144</v>
      </c>
      <c r="CA391" s="71">
        <f t="shared" ref="CA391:CA410" si="3614">Y391</f>
        <v>180</v>
      </c>
      <c r="CB391" s="72">
        <f t="shared" ref="CB391:CB410" si="3615">AC391</f>
        <v>187</v>
      </c>
      <c r="CC391" s="71">
        <f t="shared" ref="CC391:CC410" si="3616">AG391</f>
        <v>226</v>
      </c>
      <c r="CD391" s="72">
        <f t="shared" ref="CD391:CD410" si="3617">AK391</f>
        <v>235</v>
      </c>
      <c r="CE391" s="71">
        <f t="shared" ref="CE391:CE410" si="3618">AO391</f>
        <v>278</v>
      </c>
      <c r="CF391" s="72">
        <f t="shared" ref="CF391:CF410" si="3619">AS391</f>
        <v>322</v>
      </c>
      <c r="CG391" s="71">
        <f t="shared" ref="CG391:CG410" si="3620">AW391</f>
        <v>348</v>
      </c>
      <c r="CH391" s="70">
        <f t="shared" ref="CH391:CH410" si="3621">G391</f>
        <v>103</v>
      </c>
      <c r="CI391" s="71" t="str">
        <f t="shared" ref="CI391:CI410" si="3622">K391</f>
        <v>-</v>
      </c>
      <c r="CJ391" s="72">
        <f t="shared" ref="CJ391:CJ410" si="3623">O391</f>
        <v>137</v>
      </c>
      <c r="CK391" s="72">
        <f t="shared" ref="CK391:CK410" si="3624">S391</f>
        <v>143</v>
      </c>
      <c r="CL391" s="72">
        <f t="shared" ref="CL391:CL410" si="3625">W391</f>
        <v>179</v>
      </c>
      <c r="CM391" s="72">
        <f t="shared" ref="CM391:CM410" si="3626">AA391</f>
        <v>186</v>
      </c>
      <c r="CN391" s="72">
        <f t="shared" ref="CN391:CN410" si="3627">AE391</f>
        <v>211</v>
      </c>
      <c r="CO391" s="72">
        <f t="shared" ref="CO391:CO410" si="3628">AI391</f>
        <v>228</v>
      </c>
      <c r="CP391" s="72">
        <f t="shared" ref="CP391:CP410" si="3629">AM391</f>
        <v>272</v>
      </c>
      <c r="CQ391" s="72">
        <f t="shared" ref="CQ391:CQ410" si="3630">AQ391</f>
        <v>317</v>
      </c>
      <c r="CR391" s="72">
        <f t="shared" ref="CR391:CR410" si="3631">AU391</f>
        <v>347</v>
      </c>
      <c r="CS391" s="72">
        <f t="shared" ref="CS391:CS410" si="3632">AY391</f>
        <v>362</v>
      </c>
      <c r="CT391" s="23" t="e">
        <f t="shared" ref="CT391:CT410" si="3633">M391-K391</f>
        <v>#VALUE!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29" x14ac:dyDescent="0.2">
      <c r="A392" s="3" t="str">
        <f t="shared" si="3606"/>
        <v>par2_human_5NDD</v>
      </c>
      <c r="B392" s="3" t="s">
        <v>355</v>
      </c>
      <c r="C392" s="3" t="s">
        <v>1392</v>
      </c>
      <c r="D392" s="3" t="str">
        <f>IFERROR(MID(VLOOKUP($B392,Seqs!$A:$B,2,0),E392,1),"")</f>
        <v>G</v>
      </c>
      <c r="E392" s="3">
        <v>71</v>
      </c>
      <c r="F392" s="3" t="str">
        <f>IFERROR(MID(VLOOKUP($B392,Seqs!$A:$B,2,0),G392,1),"")</f>
        <v>R</v>
      </c>
      <c r="G392" s="3">
        <v>103</v>
      </c>
      <c r="H392" s="3" t="str">
        <f>IFERROR(MID(VLOOKUP($B392,Seqs!$A:$B,2,0),I392,1),"")</f>
        <v/>
      </c>
      <c r="I392" s="23" t="s">
        <v>23</v>
      </c>
      <c r="J392" s="3" t="str">
        <f>IFERROR(MID(VLOOKUP($B392,Seqs!$A:$B,2,0),K392,1),"")</f>
        <v/>
      </c>
      <c r="K392" s="23" t="s">
        <v>23</v>
      </c>
      <c r="L392" s="3" t="str">
        <f>IFERROR(MID(VLOOKUP($B392,Seqs!$A:$B,2,0),M392,1),"")</f>
        <v>H</v>
      </c>
      <c r="M392" s="3">
        <v>108</v>
      </c>
      <c r="N392" s="3" t="str">
        <f>IFERROR(MID(VLOOKUP($B392,Seqs!$A:$B,2,0),O392,1),"")</f>
        <v>H</v>
      </c>
      <c r="O392" s="3">
        <v>137</v>
      </c>
      <c r="P392" s="3" t="str">
        <f>IFERROR(MID(VLOOKUP($B392,Seqs!$A:$B,2,0),Q392,1),"")</f>
        <v>G</v>
      </c>
      <c r="Q392" s="3">
        <v>138</v>
      </c>
      <c r="R392" s="3" t="str">
        <f>IFERROR(MID(VLOOKUP($B392,Seqs!$A:$B,2,0),S392,1),"")</f>
        <v>Y</v>
      </c>
      <c r="S392" s="3">
        <v>143</v>
      </c>
      <c r="T392" s="3" t="str">
        <f>IFERROR(MID(VLOOKUP($B392,Seqs!$A:$B,2,0),U392,1),"")</f>
        <v>G</v>
      </c>
      <c r="U392" s="3">
        <v>144</v>
      </c>
      <c r="V392" s="3" t="str">
        <f>IFERROR(MID(VLOOKUP($B392,Seqs!$A:$B,2,0),W392,1),"")</f>
        <v>N</v>
      </c>
      <c r="W392" s="3">
        <v>179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H</v>
      </c>
      <c r="AC392" s="3">
        <v>183</v>
      </c>
      <c r="AD392" s="3" t="str">
        <f>IFERROR(MID(VLOOKUP($B392,Seqs!$A:$B,2,0),AE392,1),"")</f>
        <v>V</v>
      </c>
      <c r="AE392" s="3">
        <v>211</v>
      </c>
      <c r="AF392" s="3" t="str">
        <f>IFERROR(MID(VLOOKUP($B392,Seqs!$A:$B,2,0),AG392,1),"")</f>
        <v>C</v>
      </c>
      <c r="AG392" s="3">
        <v>226</v>
      </c>
      <c r="AH392" s="3" t="str">
        <f>IFERROR(MID(VLOOKUP($B392,Seqs!$A:$B,2,0),AI392,1),"")</f>
        <v>D</v>
      </c>
      <c r="AI392" s="3">
        <v>228</v>
      </c>
      <c r="AJ392" s="3" t="str">
        <f>IFERROR(MID(VLOOKUP($B392,Seqs!$A:$B,2,0),AK392,1),"")</f>
        <v>L</v>
      </c>
      <c r="AK392" s="3">
        <v>235</v>
      </c>
      <c r="AL392" s="3" t="str">
        <f>IFERROR(MID(VLOOKUP($B392,Seqs!$A:$B,2,0),AM392,1),"")</f>
        <v>L</v>
      </c>
      <c r="AM392" s="3">
        <v>269</v>
      </c>
      <c r="AN392" s="3" t="str">
        <f>IFERROR(MID(VLOOKUP($B392,Seqs!$A:$B,2,0),AO392,1),"")</f>
        <v>S</v>
      </c>
      <c r="AO392" s="3">
        <v>278</v>
      </c>
      <c r="AP392" s="3" t="str">
        <f>IFERROR(MID(VLOOKUP($B392,Seqs!$A:$B,2,0),AQ392,1),"")</f>
        <v>Q</v>
      </c>
      <c r="AQ392" s="3">
        <v>317</v>
      </c>
      <c r="AR392" s="3" t="str">
        <f>IFERROR(MID(VLOOKUP($B392,Seqs!$A:$B,2,0),AS392,1),"")</f>
        <v>V</v>
      </c>
      <c r="AS392" s="3">
        <v>322</v>
      </c>
      <c r="AT392" s="3" t="str">
        <f>IFERROR(MID(VLOOKUP($B392,Seqs!$A:$B,2,0),AU392,1),"")</f>
        <v>V</v>
      </c>
      <c r="AU392" s="3">
        <v>347</v>
      </c>
      <c r="AV392" s="3" t="str">
        <f>IFERROR(MID(VLOOKUP($B392,Seqs!$A:$B,2,0),AW392,1),"")</f>
        <v>S</v>
      </c>
      <c r="AW392" s="3">
        <v>348</v>
      </c>
      <c r="AX392" s="3" t="str">
        <f>IFERROR(MID(VLOOKUP($B392,Seqs!$A:$B,2,0),AY392,1),"")</f>
        <v>L</v>
      </c>
      <c r="AY392" s="3">
        <v>359</v>
      </c>
      <c r="AZ392" s="77" t="str">
        <f>VLOOKUP(B392,Classification!A:D,2,0)</f>
        <v>A</v>
      </c>
      <c r="BA392" s="94" t="str">
        <f>VLOOKUP(B392,Classification!A:D,4,0)</f>
        <v>Proteinase-activated</v>
      </c>
      <c r="BB392" s="27" t="b">
        <f t="shared" si="3607"/>
        <v>1</v>
      </c>
      <c r="BC392" s="23">
        <f t="shared" si="3608"/>
        <v>252</v>
      </c>
      <c r="BD392" s="2" t="s">
        <v>1425</v>
      </c>
      <c r="BE392" s="3" t="s">
        <v>1424</v>
      </c>
      <c r="BF392" s="118">
        <v>2.8</v>
      </c>
      <c r="BG392" s="49" t="s">
        <v>1</v>
      </c>
      <c r="BH392" s="49" t="s">
        <v>1373</v>
      </c>
      <c r="BI392" s="1"/>
      <c r="BJ392" s="70" t="s">
        <v>1283</v>
      </c>
      <c r="BK392" s="57" t="s">
        <v>1283</v>
      </c>
      <c r="BL392" s="57" t="s">
        <v>1283</v>
      </c>
      <c r="BM392" s="57" t="s">
        <v>1283</v>
      </c>
      <c r="BN392" s="57" t="s">
        <v>1283</v>
      </c>
      <c r="BO392" s="57" t="s">
        <v>1283</v>
      </c>
      <c r="BP392" s="57" t="s">
        <v>1283</v>
      </c>
      <c r="BQ392" s="57" t="s">
        <v>1283</v>
      </c>
      <c r="BR392" s="57" t="s">
        <v>1283</v>
      </c>
      <c r="BS392" s="57" t="s">
        <v>1283</v>
      </c>
      <c r="BT392" s="57" t="s">
        <v>1283</v>
      </c>
      <c r="BU392" s="57" t="s">
        <v>1283</v>
      </c>
      <c r="BV392" s="70">
        <f t="shared" si="3609"/>
        <v>71</v>
      </c>
      <c r="BW392" s="71" t="str">
        <f t="shared" si="3610"/>
        <v>-</v>
      </c>
      <c r="BX392" s="72">
        <f t="shared" si="3611"/>
        <v>108</v>
      </c>
      <c r="BY392" s="71">
        <f t="shared" si="3612"/>
        <v>138</v>
      </c>
      <c r="BZ392" s="72">
        <f t="shared" si="3613"/>
        <v>144</v>
      </c>
      <c r="CA392" s="71" t="str">
        <f t="shared" si="3614"/>
        <v>-</v>
      </c>
      <c r="CB392" s="72">
        <f t="shared" si="3615"/>
        <v>183</v>
      </c>
      <c r="CC392" s="71">
        <f t="shared" si="3616"/>
        <v>226</v>
      </c>
      <c r="CD392" s="72">
        <f t="shared" si="3617"/>
        <v>235</v>
      </c>
      <c r="CE392" s="71">
        <f t="shared" si="3618"/>
        <v>278</v>
      </c>
      <c r="CF392" s="72">
        <f t="shared" si="3619"/>
        <v>322</v>
      </c>
      <c r="CG392" s="71">
        <f t="shared" si="3620"/>
        <v>348</v>
      </c>
      <c r="CH392" s="70">
        <f t="shared" si="3621"/>
        <v>103</v>
      </c>
      <c r="CI392" s="71" t="str">
        <f t="shared" si="3622"/>
        <v>-</v>
      </c>
      <c r="CJ392" s="72">
        <f t="shared" si="3623"/>
        <v>137</v>
      </c>
      <c r="CK392" s="72">
        <f t="shared" si="3624"/>
        <v>143</v>
      </c>
      <c r="CL392" s="72">
        <f t="shared" si="3625"/>
        <v>179</v>
      </c>
      <c r="CM392" s="72" t="str">
        <f t="shared" si="3626"/>
        <v>-</v>
      </c>
      <c r="CN392" s="72">
        <f t="shared" si="3627"/>
        <v>211</v>
      </c>
      <c r="CO392" s="72">
        <f t="shared" si="3628"/>
        <v>228</v>
      </c>
      <c r="CP392" s="72">
        <f t="shared" si="3629"/>
        <v>269</v>
      </c>
      <c r="CQ392" s="72">
        <f t="shared" si="3630"/>
        <v>317</v>
      </c>
      <c r="CR392" s="72">
        <f t="shared" si="3631"/>
        <v>347</v>
      </c>
      <c r="CS392" s="72">
        <f t="shared" si="3632"/>
        <v>359</v>
      </c>
      <c r="CT392" s="23" t="e">
        <f t="shared" si="3633"/>
        <v>#VALUE!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29" x14ac:dyDescent="0.2">
      <c r="A393" s="3" t="str">
        <f t="shared" si="3606"/>
        <v>par2_human_5NDZ</v>
      </c>
      <c r="B393" s="3" t="s">
        <v>355</v>
      </c>
      <c r="C393" s="3" t="s">
        <v>1393</v>
      </c>
      <c r="D393" s="3" t="str">
        <f>IFERROR(MID(VLOOKUP($B393,Seqs!$A:$B,2,0),E393,1),"")</f>
        <v>G</v>
      </c>
      <c r="E393" s="3">
        <v>71</v>
      </c>
      <c r="F393" s="3" t="str">
        <f>IFERROR(MID(VLOOKUP($B393,Seqs!$A:$B,2,0),G393,1),"")</f>
        <v>R</v>
      </c>
      <c r="G393" s="3">
        <v>103</v>
      </c>
      <c r="H393" s="3" t="str">
        <f>IFERROR(MID(VLOOKUP($B393,Seqs!$A:$B,2,0),I393,1),"")</f>
        <v/>
      </c>
      <c r="I393" s="23" t="s">
        <v>23</v>
      </c>
      <c r="J393" s="3" t="str">
        <f>IFERROR(MID(VLOOKUP($B393,Seqs!$A:$B,2,0),K393,1),"")</f>
        <v/>
      </c>
      <c r="K393" s="23" t="s">
        <v>23</v>
      </c>
      <c r="L393" s="3" t="str">
        <f>IFERROR(MID(VLOOKUP($B393,Seqs!$A:$B,2,0),M393,1),"")</f>
        <v>H</v>
      </c>
      <c r="M393" s="3">
        <v>108</v>
      </c>
      <c r="N393" s="3" t="str">
        <f>IFERROR(MID(VLOOKUP($B393,Seqs!$A:$B,2,0),O393,1),"")</f>
        <v>H</v>
      </c>
      <c r="O393" s="3">
        <v>137</v>
      </c>
      <c r="P393" s="3" t="str">
        <f>IFERROR(MID(VLOOKUP($B393,Seqs!$A:$B,2,0),Q393,1),"")</f>
        <v>G</v>
      </c>
      <c r="Q393" s="3">
        <v>138</v>
      </c>
      <c r="R393" s="3" t="str">
        <f>IFERROR(MID(VLOOKUP($B393,Seqs!$A:$B,2,0),S393,1),"")</f>
        <v>Y</v>
      </c>
      <c r="S393" s="3">
        <v>143</v>
      </c>
      <c r="T393" s="3" t="str">
        <f>IFERROR(MID(VLOOKUP($B393,Seqs!$A:$B,2,0),U393,1),"")</f>
        <v>G</v>
      </c>
      <c r="U393" s="3">
        <v>144</v>
      </c>
      <c r="V393" s="3" t="str">
        <f>IFERROR(MID(VLOOKUP($B393,Seqs!$A:$B,2,0),W393,1),"")</f>
        <v>N</v>
      </c>
      <c r="W393" s="3">
        <v>179</v>
      </c>
      <c r="X393" s="3" t="str">
        <f>IFERROR(MID(VLOOKUP($B393,Seqs!$A:$B,2,0),Y393,1),"")</f>
        <v/>
      </c>
      <c r="Y393" s="3" t="s">
        <v>23</v>
      </c>
      <c r="Z393" s="3" t="str">
        <f>IFERROR(MID(VLOOKUP($B393,Seqs!$A:$B,2,0),AA393,1),"")</f>
        <v/>
      </c>
      <c r="AA393" s="3" t="s">
        <v>23</v>
      </c>
      <c r="AB393" s="3" t="str">
        <f>IFERROR(MID(VLOOKUP($B393,Seqs!$A:$B,2,0),AC393,1),"")</f>
        <v>H</v>
      </c>
      <c r="AC393" s="3">
        <v>183</v>
      </c>
      <c r="AD393" s="3" t="str">
        <f>IFERROR(MID(VLOOKUP($B393,Seqs!$A:$B,2,0),AE393,1),"")</f>
        <v>V</v>
      </c>
      <c r="AE393" s="3">
        <v>211</v>
      </c>
      <c r="AF393" s="3" t="str">
        <f>IFERROR(MID(VLOOKUP($B393,Seqs!$A:$B,2,0),AG393,1),"")</f>
        <v>C</v>
      </c>
      <c r="AG393" s="3">
        <v>226</v>
      </c>
      <c r="AH393" s="3" t="str">
        <f>IFERROR(MID(VLOOKUP($B393,Seqs!$A:$B,2,0),AI393,1),"")</f>
        <v>D</v>
      </c>
      <c r="AI393" s="3">
        <v>228</v>
      </c>
      <c r="AJ393" s="3" t="str">
        <f>IFERROR(MID(VLOOKUP($B393,Seqs!$A:$B,2,0),AK393,1),"")</f>
        <v>L</v>
      </c>
      <c r="AK393" s="3">
        <v>235</v>
      </c>
      <c r="AL393" s="3" t="str">
        <f>IFERROR(MID(VLOOKUP($B393,Seqs!$A:$B,2,0),AM393,1),"")</f>
        <v>L</v>
      </c>
      <c r="AM393" s="3">
        <v>269</v>
      </c>
      <c r="AN393" s="3" t="str">
        <f>IFERROR(MID(VLOOKUP($B393,Seqs!$A:$B,2,0),AO393,1),"")</f>
        <v>S</v>
      </c>
      <c r="AO393" s="3">
        <v>278</v>
      </c>
      <c r="AP393" s="3" t="str">
        <f>IFERROR(MID(VLOOKUP($B393,Seqs!$A:$B,2,0),AQ393,1),"")</f>
        <v>Q</v>
      </c>
      <c r="AQ393" s="3">
        <v>317</v>
      </c>
      <c r="AR393" s="3" t="str">
        <f>IFERROR(MID(VLOOKUP($B393,Seqs!$A:$B,2,0),AS393,1),"")</f>
        <v>V</v>
      </c>
      <c r="AS393" s="3">
        <v>322</v>
      </c>
      <c r="AT393" s="3" t="str">
        <f>IFERROR(MID(VLOOKUP($B393,Seqs!$A:$B,2,0),AU393,1),"")</f>
        <v>S</v>
      </c>
      <c r="AU393" s="3">
        <v>348</v>
      </c>
      <c r="AV393" s="3" t="str">
        <f>IFERROR(MID(VLOOKUP($B393,Seqs!$A:$B,2,0),AW393,1),"")</f>
        <v>H</v>
      </c>
      <c r="AW393" s="3">
        <v>349</v>
      </c>
      <c r="AX393" s="3" t="str">
        <f>IFERROR(MID(VLOOKUP($B393,Seqs!$A:$B,2,0),AY393,1),"")</f>
        <v>L</v>
      </c>
      <c r="AY393" s="3">
        <v>359</v>
      </c>
      <c r="AZ393" s="77" t="str">
        <f>VLOOKUP(B393,Classification!A:D,2,0)</f>
        <v>A</v>
      </c>
      <c r="BA393" s="94" t="str">
        <f>VLOOKUP(B393,Classification!A:D,4,0)</f>
        <v>Proteinase-activated</v>
      </c>
      <c r="BB393" s="27" t="b">
        <f t="shared" si="3607"/>
        <v>1</v>
      </c>
      <c r="BC393" s="23">
        <f t="shared" si="3608"/>
        <v>252</v>
      </c>
      <c r="BD393" s="2" t="s">
        <v>23</v>
      </c>
      <c r="BE393" s="3" t="s">
        <v>1424</v>
      </c>
      <c r="BF393" s="118">
        <v>3.6</v>
      </c>
      <c r="BG393" s="49" t="s">
        <v>1</v>
      </c>
      <c r="BH393" s="49" t="s">
        <v>1373</v>
      </c>
      <c r="BI393" s="1"/>
      <c r="BJ393" s="70" t="s">
        <v>1283</v>
      </c>
      <c r="BK393" s="57" t="s">
        <v>1283</v>
      </c>
      <c r="BL393" s="57" t="s">
        <v>1283</v>
      </c>
      <c r="BM393" s="57" t="s">
        <v>1283</v>
      </c>
      <c r="BN393" s="57" t="s">
        <v>1283</v>
      </c>
      <c r="BO393" s="57" t="s">
        <v>1283</v>
      </c>
      <c r="BP393" s="57" t="s">
        <v>1283</v>
      </c>
      <c r="BQ393" s="57" t="s">
        <v>1283</v>
      </c>
      <c r="BR393" s="57" t="s">
        <v>1283</v>
      </c>
      <c r="BS393" s="57" t="s">
        <v>1283</v>
      </c>
      <c r="BT393" s="57" t="s">
        <v>1283</v>
      </c>
      <c r="BU393" s="57" t="s">
        <v>1283</v>
      </c>
      <c r="BV393" s="70">
        <f t="shared" si="3609"/>
        <v>71</v>
      </c>
      <c r="BW393" s="71" t="str">
        <f t="shared" si="3610"/>
        <v>-</v>
      </c>
      <c r="BX393" s="72">
        <f t="shared" si="3611"/>
        <v>108</v>
      </c>
      <c r="BY393" s="71">
        <f t="shared" si="3612"/>
        <v>138</v>
      </c>
      <c r="BZ393" s="72">
        <f t="shared" si="3613"/>
        <v>144</v>
      </c>
      <c r="CA393" s="71" t="str">
        <f t="shared" si="3614"/>
        <v>-</v>
      </c>
      <c r="CB393" s="72">
        <f t="shared" si="3615"/>
        <v>183</v>
      </c>
      <c r="CC393" s="71">
        <f t="shared" si="3616"/>
        <v>226</v>
      </c>
      <c r="CD393" s="72">
        <f t="shared" si="3617"/>
        <v>235</v>
      </c>
      <c r="CE393" s="71">
        <f t="shared" si="3618"/>
        <v>278</v>
      </c>
      <c r="CF393" s="72">
        <f t="shared" si="3619"/>
        <v>322</v>
      </c>
      <c r="CG393" s="71">
        <f t="shared" si="3620"/>
        <v>349</v>
      </c>
      <c r="CH393" s="70">
        <f t="shared" si="3621"/>
        <v>103</v>
      </c>
      <c r="CI393" s="71" t="str">
        <f t="shared" si="3622"/>
        <v>-</v>
      </c>
      <c r="CJ393" s="72">
        <f t="shared" si="3623"/>
        <v>137</v>
      </c>
      <c r="CK393" s="72">
        <f t="shared" si="3624"/>
        <v>143</v>
      </c>
      <c r="CL393" s="72">
        <f t="shared" si="3625"/>
        <v>179</v>
      </c>
      <c r="CM393" s="72" t="str">
        <f t="shared" si="3626"/>
        <v>-</v>
      </c>
      <c r="CN393" s="72">
        <f t="shared" si="3627"/>
        <v>211</v>
      </c>
      <c r="CO393" s="72">
        <f t="shared" si="3628"/>
        <v>228</v>
      </c>
      <c r="CP393" s="72">
        <f t="shared" si="3629"/>
        <v>269</v>
      </c>
      <c r="CQ393" s="72">
        <f t="shared" si="3630"/>
        <v>317</v>
      </c>
      <c r="CR393" s="72">
        <f t="shared" si="3631"/>
        <v>348</v>
      </c>
      <c r="CS393" s="72">
        <f t="shared" si="3632"/>
        <v>359</v>
      </c>
      <c r="CT393" s="23" t="e">
        <f t="shared" si="3633"/>
        <v>#VALUE!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29" x14ac:dyDescent="0.2">
      <c r="A394" s="3" t="str">
        <f t="shared" si="3606"/>
        <v>par2_human_5NJ6</v>
      </c>
      <c r="B394" s="3" t="s">
        <v>355</v>
      </c>
      <c r="C394" s="3" t="s">
        <v>1394</v>
      </c>
      <c r="D394" s="3" t="str">
        <f>IFERROR(MID(VLOOKUP($B394,Seqs!$A:$B,2,0),E394,1),"")</f>
        <v>G</v>
      </c>
      <c r="E394" s="3">
        <v>71</v>
      </c>
      <c r="F394" s="3" t="str">
        <f>IFERROR(MID(VLOOKUP($B394,Seqs!$A:$B,2,0),G394,1),"")</f>
        <v>R</v>
      </c>
      <c r="G394" s="3">
        <v>103</v>
      </c>
      <c r="H394" s="3" t="str">
        <f>IFERROR(MID(VLOOKUP($B394,Seqs!$A:$B,2,0),I394,1),"")</f>
        <v/>
      </c>
      <c r="I394" s="23" t="s">
        <v>23</v>
      </c>
      <c r="J394" s="3" t="str">
        <f>IFERROR(MID(VLOOKUP($B394,Seqs!$A:$B,2,0),K394,1),"")</f>
        <v/>
      </c>
      <c r="K394" s="23" t="s">
        <v>23</v>
      </c>
      <c r="L394" s="3" t="str">
        <f>IFERROR(MID(VLOOKUP($B394,Seqs!$A:$B,2,0),M394,1),"")</f>
        <v>H</v>
      </c>
      <c r="M394" s="3">
        <v>108</v>
      </c>
      <c r="N394" s="3" t="str">
        <f>IFERROR(MID(VLOOKUP($B394,Seqs!$A:$B,2,0),O394,1),"")</f>
        <v>H</v>
      </c>
      <c r="O394" s="3">
        <v>137</v>
      </c>
      <c r="P394" s="3" t="str">
        <f>IFERROR(MID(VLOOKUP($B394,Seqs!$A:$B,2,0),Q394,1),"")</f>
        <v>G</v>
      </c>
      <c r="Q394" s="3">
        <v>138</v>
      </c>
      <c r="R394" s="3" t="str">
        <f>IFERROR(MID(VLOOKUP($B394,Seqs!$A:$B,2,0),S394,1),"")</f>
        <v>Y</v>
      </c>
      <c r="S394" s="3">
        <v>143</v>
      </c>
      <c r="T394" s="3" t="str">
        <f>IFERROR(MID(VLOOKUP($B394,Seqs!$A:$B,2,0),U394,1),"")</f>
        <v>G</v>
      </c>
      <c r="U394" s="3">
        <v>144</v>
      </c>
      <c r="V394" s="3" t="str">
        <f>IFERROR(MID(VLOOKUP($B394,Seqs!$A:$B,2,0),W394,1),"")</f>
        <v>N</v>
      </c>
      <c r="W394" s="3">
        <v>179</v>
      </c>
      <c r="X394" s="3" t="str">
        <f>IFERROR(MID(VLOOKUP($B394,Seqs!$A:$B,2,0),Y394,1),"")</f>
        <v/>
      </c>
      <c r="Y394" s="3" t="s">
        <v>23</v>
      </c>
      <c r="Z394" s="3" t="str">
        <f>IFERROR(MID(VLOOKUP($B394,Seqs!$A:$B,2,0),AA394,1),"")</f>
        <v/>
      </c>
      <c r="AA394" s="3" t="s">
        <v>23</v>
      </c>
      <c r="AB394" s="3" t="str">
        <f>IFERROR(MID(VLOOKUP($B394,Seqs!$A:$B,2,0),AC394,1),"")</f>
        <v>H</v>
      </c>
      <c r="AC394" s="3">
        <v>183</v>
      </c>
      <c r="AD394" s="3" t="str">
        <f>IFERROR(MID(VLOOKUP($B394,Seqs!$A:$B,2,0),AE394,1),"")</f>
        <v>V</v>
      </c>
      <c r="AE394" s="3">
        <v>211</v>
      </c>
      <c r="AF394" s="3" t="str">
        <f>IFERROR(MID(VLOOKUP($B394,Seqs!$A:$B,2,0),AG394,1),"")</f>
        <v>C</v>
      </c>
      <c r="AG394" s="3">
        <v>226</v>
      </c>
      <c r="AH394" s="3" t="str">
        <f>IFERROR(MID(VLOOKUP($B394,Seqs!$A:$B,2,0),AI394,1),"")</f>
        <v>D</v>
      </c>
      <c r="AI394" s="3">
        <v>228</v>
      </c>
      <c r="AJ394" s="3" t="str">
        <f>IFERROR(MID(VLOOKUP($B394,Seqs!$A:$B,2,0),AK394,1),"")</f>
        <v>L</v>
      </c>
      <c r="AK394" s="3">
        <v>235</v>
      </c>
      <c r="AL394" s="3" t="str">
        <f>IFERROR(MID(VLOOKUP($B394,Seqs!$A:$B,2,0),AM394,1),"")</f>
        <v>L</v>
      </c>
      <c r="AM394" s="3">
        <v>269</v>
      </c>
      <c r="AN394" s="3" t="str">
        <f>IFERROR(MID(VLOOKUP($B394,Seqs!$A:$B,2,0),AO394,1),"")</f>
        <v>S</v>
      </c>
      <c r="AO394" s="3">
        <v>278</v>
      </c>
      <c r="AP394" s="3" t="str">
        <f>IFERROR(MID(VLOOKUP($B394,Seqs!$A:$B,2,0),AQ394,1),"")</f>
        <v>Q</v>
      </c>
      <c r="AQ394" s="3">
        <v>317</v>
      </c>
      <c r="AR394" s="3" t="str">
        <f>IFERROR(MID(VLOOKUP($B394,Seqs!$A:$B,2,0),AS394,1),"")</f>
        <v>V</v>
      </c>
      <c r="AS394" s="3">
        <v>322</v>
      </c>
      <c r="AT394" s="3" t="str">
        <f>IFERROR(MID(VLOOKUP($B394,Seqs!$A:$B,2,0),AU394,1),"")</f>
        <v>S</v>
      </c>
      <c r="AU394" s="3">
        <v>348</v>
      </c>
      <c r="AV394" s="3" t="str">
        <f>IFERROR(MID(VLOOKUP($B394,Seqs!$A:$B,2,0),AW394,1),"")</f>
        <v>H</v>
      </c>
      <c r="AW394" s="3">
        <v>349</v>
      </c>
      <c r="AX394" s="3" t="str">
        <f>IFERROR(MID(VLOOKUP($B394,Seqs!$A:$B,2,0),AY394,1),"")</f>
        <v>L</v>
      </c>
      <c r="AY394" s="3">
        <v>359</v>
      </c>
      <c r="AZ394" s="77" t="str">
        <f>VLOOKUP(B394,Classification!A:D,2,0)</f>
        <v>A</v>
      </c>
      <c r="BA394" s="94" t="str">
        <f>VLOOKUP(B394,Classification!A:D,4,0)</f>
        <v>Proteinase-activated</v>
      </c>
      <c r="BB394" s="27" t="b">
        <f t="shared" si="3607"/>
        <v>1</v>
      </c>
      <c r="BC394" s="23">
        <f t="shared" si="3608"/>
        <v>252</v>
      </c>
      <c r="BD394" s="2" t="s">
        <v>23</v>
      </c>
      <c r="BE394" s="3" t="s">
        <v>1424</v>
      </c>
      <c r="BF394" s="118">
        <v>4</v>
      </c>
      <c r="BG394" s="49" t="s">
        <v>1</v>
      </c>
      <c r="BH394" s="49" t="s">
        <v>1373</v>
      </c>
      <c r="BI394" s="1"/>
      <c r="BJ394" s="70" t="s">
        <v>1283</v>
      </c>
      <c r="BK394" s="57" t="s">
        <v>1283</v>
      </c>
      <c r="BL394" s="57" t="s">
        <v>1283</v>
      </c>
      <c r="BM394" s="57" t="s">
        <v>1283</v>
      </c>
      <c r="BN394" s="57" t="s">
        <v>1283</v>
      </c>
      <c r="BO394" s="57" t="s">
        <v>1283</v>
      </c>
      <c r="BP394" s="57" t="s">
        <v>1283</v>
      </c>
      <c r="BQ394" s="57" t="s">
        <v>1283</v>
      </c>
      <c r="BR394" s="57" t="s">
        <v>1283</v>
      </c>
      <c r="BS394" s="57" t="s">
        <v>1283</v>
      </c>
      <c r="BT394" s="57" t="s">
        <v>1283</v>
      </c>
      <c r="BU394" s="57" t="s">
        <v>1283</v>
      </c>
      <c r="BV394" s="70">
        <f t="shared" si="3609"/>
        <v>71</v>
      </c>
      <c r="BW394" s="71" t="str">
        <f t="shared" si="3610"/>
        <v>-</v>
      </c>
      <c r="BX394" s="72">
        <f t="shared" si="3611"/>
        <v>108</v>
      </c>
      <c r="BY394" s="71">
        <f t="shared" si="3612"/>
        <v>138</v>
      </c>
      <c r="BZ394" s="72">
        <f t="shared" si="3613"/>
        <v>144</v>
      </c>
      <c r="CA394" s="71" t="str">
        <f t="shared" si="3614"/>
        <v>-</v>
      </c>
      <c r="CB394" s="72">
        <f t="shared" si="3615"/>
        <v>183</v>
      </c>
      <c r="CC394" s="71">
        <f t="shared" si="3616"/>
        <v>226</v>
      </c>
      <c r="CD394" s="72">
        <f t="shared" si="3617"/>
        <v>235</v>
      </c>
      <c r="CE394" s="71">
        <f t="shared" si="3618"/>
        <v>278</v>
      </c>
      <c r="CF394" s="72">
        <f t="shared" si="3619"/>
        <v>322</v>
      </c>
      <c r="CG394" s="71">
        <f t="shared" si="3620"/>
        <v>349</v>
      </c>
      <c r="CH394" s="70">
        <f t="shared" si="3621"/>
        <v>103</v>
      </c>
      <c r="CI394" s="71" t="str">
        <f t="shared" si="3622"/>
        <v>-</v>
      </c>
      <c r="CJ394" s="72">
        <f t="shared" si="3623"/>
        <v>137</v>
      </c>
      <c r="CK394" s="72">
        <f t="shared" si="3624"/>
        <v>143</v>
      </c>
      <c r="CL394" s="72">
        <f t="shared" si="3625"/>
        <v>179</v>
      </c>
      <c r="CM394" s="72" t="str">
        <f t="shared" si="3626"/>
        <v>-</v>
      </c>
      <c r="CN394" s="72">
        <f t="shared" si="3627"/>
        <v>211</v>
      </c>
      <c r="CO394" s="72">
        <f t="shared" si="3628"/>
        <v>228</v>
      </c>
      <c r="CP394" s="72">
        <f t="shared" si="3629"/>
        <v>269</v>
      </c>
      <c r="CQ394" s="72">
        <f t="shared" si="3630"/>
        <v>317</v>
      </c>
      <c r="CR394" s="72">
        <f t="shared" si="3631"/>
        <v>348</v>
      </c>
      <c r="CS394" s="72">
        <f t="shared" si="3632"/>
        <v>359</v>
      </c>
      <c r="CT394" s="23" t="e">
        <f t="shared" si="3633"/>
        <v>#VALUE!</v>
      </c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</row>
    <row r="395" spans="1:1029" x14ac:dyDescent="0.2">
      <c r="A395" s="3" t="str">
        <f t="shared" ref="A395" si="3634">CONCATENATE(B395,"_",C395)</f>
        <v>pd2r2_human__wt</v>
      </c>
      <c r="B395" s="3" t="s">
        <v>359</v>
      </c>
      <c r="C395" s="3" t="s">
        <v>100</v>
      </c>
      <c r="D395" s="3" t="str">
        <f>IFERROR(MID(VLOOKUP($B395,Seqs!$A:$B,2,0),E395,1),"")</f>
        <v>D</v>
      </c>
      <c r="E395" s="3">
        <v>32</v>
      </c>
      <c r="F395" s="3" t="str">
        <f>IFERROR(MID(VLOOKUP($B395,Seqs!$A:$B,2,0),G395,1),"")</f>
        <v>R</v>
      </c>
      <c r="G395" s="3">
        <v>60</v>
      </c>
      <c r="H395" s="3" t="str">
        <f>IFERROR(MID(VLOOKUP($B395,Seqs!$A:$B,2,0),I395,1),"")</f>
        <v/>
      </c>
      <c r="I395" s="23" t="s">
        <v>23</v>
      </c>
      <c r="J395" s="3" t="str">
        <f>IFERROR(MID(VLOOKUP($B395,Seqs!$A:$B,2,0),K395,1),"")</f>
        <v/>
      </c>
      <c r="K395" s="23" t="s">
        <v>23</v>
      </c>
      <c r="L395" s="3" t="str">
        <f>IFERROR(MID(VLOOKUP($B395,Seqs!$A:$B,2,0),M395,1),"")</f>
        <v>T</v>
      </c>
      <c r="M395" s="3">
        <v>64</v>
      </c>
      <c r="N395" s="3" t="str">
        <f>IFERROR(MID(VLOOKUP($B395,Seqs!$A:$B,2,0),O395,1),"")</f>
        <v>G</v>
      </c>
      <c r="O395" s="3">
        <v>94</v>
      </c>
      <c r="P395" s="3" t="str">
        <f>IFERROR(MID(VLOOKUP($B395,Seqs!$A:$B,2,0),Q395,1),"")</f>
        <v>S</v>
      </c>
      <c r="Q395" s="3">
        <v>96</v>
      </c>
      <c r="R395" s="3" t="str">
        <f>IFERROR(MID(VLOOKUP($B395,Seqs!$A:$B,2,0),S395,1),"")</f>
        <v>L</v>
      </c>
      <c r="S395" s="3">
        <v>99</v>
      </c>
      <c r="T395" s="3" t="str">
        <f>IFERROR(MID(VLOOKUP($B395,Seqs!$A:$B,2,0),U395,1),"")</f>
        <v>G</v>
      </c>
      <c r="U395" s="3">
        <v>100</v>
      </c>
      <c r="V395" s="3" t="str">
        <f>IFERROR(MID(VLOOKUP($B395,Seqs!$A:$B,2,0),W395,1),"")</f>
        <v>R</v>
      </c>
      <c r="W395" s="3">
        <v>135</v>
      </c>
      <c r="X395" s="3" t="str">
        <f>IFERROR(MID(VLOOKUP($B395,Seqs!$A:$B,2,0),Y395,1),"")</f>
        <v>P</v>
      </c>
      <c r="Y395" s="3">
        <v>136</v>
      </c>
      <c r="Z395" s="3" t="str">
        <f>IFERROR(MID(VLOOKUP($B395,Seqs!$A:$B,2,0),AA395,1),"")</f>
        <v>R</v>
      </c>
      <c r="AA395" s="3">
        <v>143</v>
      </c>
      <c r="AB395" s="3" t="str">
        <f>IFERROR(MID(VLOOKUP($B395,Seqs!$A:$B,2,0),AC395,1),"")</f>
        <v>T</v>
      </c>
      <c r="AC395" s="3">
        <v>144</v>
      </c>
      <c r="AD395" s="3" t="str">
        <f>IFERROR(MID(VLOOKUP($B395,Seqs!$A:$B,2,0),AE395,1),"")</f>
        <v>R</v>
      </c>
      <c r="AE395" s="3">
        <v>170</v>
      </c>
      <c r="AF395" s="3" t="str">
        <f>IFERROR(MID(VLOOKUP($B395,Seqs!$A:$B,2,0),AG395,1),"")</f>
        <v>C</v>
      </c>
      <c r="AG395" s="3">
        <v>182</v>
      </c>
      <c r="AH395" s="3" t="str">
        <f>IFERROR(MID(VLOOKUP($B395,Seqs!$A:$B,2,0),AI395,1),"")</f>
        <v>Y</v>
      </c>
      <c r="AI395" s="3">
        <v>184</v>
      </c>
      <c r="AJ395" s="3" t="str">
        <f>IFERROR(MID(VLOOKUP($B395,Seqs!$A:$B,2,0),AK395,1),"")</f>
        <v>D</v>
      </c>
      <c r="AK395" s="3">
        <v>194</v>
      </c>
      <c r="AL395" s="3" t="str">
        <f>IFERROR(MID(VLOOKUP($B395,Seqs!$A:$B,2,0),AM395,1),"")</f>
        <v>R</v>
      </c>
      <c r="AM395" s="3">
        <v>236</v>
      </c>
      <c r="AN395" s="3" t="str">
        <f>IFERROR(MID(VLOOKUP($B395,Seqs!$A:$B,2,0),AO395,1),"")</f>
        <v>P</v>
      </c>
      <c r="AO395" s="3">
        <v>241</v>
      </c>
      <c r="AP395" s="3" t="str">
        <f>IFERROR(MID(VLOOKUP($B395,Seqs!$A:$B,2,0),AQ395,1),"")</f>
        <v>A</v>
      </c>
      <c r="AQ395" s="3">
        <v>272</v>
      </c>
      <c r="AR395" s="3" t="str">
        <f>IFERROR(MID(VLOOKUP($B395,Seqs!$A:$B,2,0),AS395,1),"")</f>
        <v>L</v>
      </c>
      <c r="AS395" s="3">
        <v>278</v>
      </c>
      <c r="AT395" s="3" t="str">
        <f>IFERROR(MID(VLOOKUP($B395,Seqs!$A:$B,2,0),AU395,1),"")</f>
        <v>T</v>
      </c>
      <c r="AU395" s="3">
        <v>307</v>
      </c>
      <c r="AV395" s="3" t="str">
        <f>IFERROR(MID(VLOOKUP($B395,Seqs!$A:$B,2,0),AW395,1),"")</f>
        <v>C</v>
      </c>
      <c r="AW395" s="3">
        <v>308</v>
      </c>
      <c r="AX395" s="3" t="str">
        <f>IFERROR(MID(VLOOKUP($B395,Seqs!$A:$B,2,0),AY395,1),"")</f>
        <v>S</v>
      </c>
      <c r="AY395" s="3">
        <v>325</v>
      </c>
      <c r="AZ395" s="77" t="str">
        <f>VLOOKUP(B395,Classification!A:D,2,0)</f>
        <v>A</v>
      </c>
      <c r="BA395" s="94" t="str">
        <f>VLOOKUP(B395,Classification!A:D,4,0)</f>
        <v>Prostanoid</v>
      </c>
      <c r="BB395" s="27" t="b">
        <f t="shared" ref="BB395" si="3635"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23">
        <f t="shared" ref="BC395" si="3636">_xlfn.AGGREGATE(9,6,CH395:CS395)-_xlfn.AGGREGATE(9,6,BV395:CG395)+12</f>
        <v>262</v>
      </c>
      <c r="BD395" s="2" t="s">
        <v>23</v>
      </c>
      <c r="BE395" s="3" t="s">
        <v>23</v>
      </c>
      <c r="BF395" s="118" t="s">
        <v>23</v>
      </c>
      <c r="BG395" s="49" t="s">
        <v>23</v>
      </c>
      <c r="BH395" s="49" t="s">
        <v>23</v>
      </c>
      <c r="BI395" s="1"/>
      <c r="BJ395" s="70" t="s">
        <v>1283</v>
      </c>
      <c r="BK395" s="57" t="s">
        <v>1283</v>
      </c>
      <c r="BL395" s="57" t="s">
        <v>1283</v>
      </c>
      <c r="BM395" s="57" t="s">
        <v>1283</v>
      </c>
      <c r="BN395" s="57" t="s">
        <v>1283</v>
      </c>
      <c r="BO395" s="57" t="s">
        <v>1283</v>
      </c>
      <c r="BP395" s="57" t="s">
        <v>1283</v>
      </c>
      <c r="BQ395" s="57" t="s">
        <v>1283</v>
      </c>
      <c r="BR395" s="57" t="s">
        <v>1283</v>
      </c>
      <c r="BS395" s="57" t="s">
        <v>1283</v>
      </c>
      <c r="BT395" s="57" t="s">
        <v>1283</v>
      </c>
      <c r="BU395" s="57" t="s">
        <v>1283</v>
      </c>
      <c r="BV395" s="70">
        <f t="shared" ref="BV395" si="3637">E395</f>
        <v>32</v>
      </c>
      <c r="BW395" s="71" t="str">
        <f t="shared" ref="BW395" si="3638">I395</f>
        <v>-</v>
      </c>
      <c r="BX395" s="72">
        <f t="shared" ref="BX395" si="3639">M395</f>
        <v>64</v>
      </c>
      <c r="BY395" s="71">
        <f t="shared" ref="BY395" si="3640">Q395</f>
        <v>96</v>
      </c>
      <c r="BZ395" s="72">
        <f t="shared" ref="BZ395" si="3641">U395</f>
        <v>100</v>
      </c>
      <c r="CA395" s="71">
        <f t="shared" ref="CA395" si="3642">Y395</f>
        <v>136</v>
      </c>
      <c r="CB395" s="72">
        <f t="shared" ref="CB395" si="3643">AC395</f>
        <v>144</v>
      </c>
      <c r="CC395" s="71">
        <f t="shared" ref="CC395" si="3644">AG395</f>
        <v>182</v>
      </c>
      <c r="CD395" s="72">
        <f t="shared" ref="CD395" si="3645">AK395</f>
        <v>194</v>
      </c>
      <c r="CE395" s="71">
        <f t="shared" ref="CE395" si="3646">AO395</f>
        <v>241</v>
      </c>
      <c r="CF395" s="72">
        <f t="shared" ref="CF395" si="3647">AS395</f>
        <v>278</v>
      </c>
      <c r="CG395" s="71">
        <f t="shared" ref="CG395" si="3648">AW395</f>
        <v>308</v>
      </c>
      <c r="CH395" s="70">
        <f t="shared" ref="CH395" si="3649">G395</f>
        <v>60</v>
      </c>
      <c r="CI395" s="71" t="str">
        <f t="shared" ref="CI395" si="3650">K395</f>
        <v>-</v>
      </c>
      <c r="CJ395" s="72">
        <f t="shared" ref="CJ395" si="3651">O395</f>
        <v>94</v>
      </c>
      <c r="CK395" s="72">
        <f t="shared" ref="CK395" si="3652">S395</f>
        <v>99</v>
      </c>
      <c r="CL395" s="72">
        <f t="shared" ref="CL395" si="3653">W395</f>
        <v>135</v>
      </c>
      <c r="CM395" s="72">
        <f t="shared" ref="CM395" si="3654">AA395</f>
        <v>143</v>
      </c>
      <c r="CN395" s="72">
        <f t="shared" ref="CN395" si="3655">AE395</f>
        <v>170</v>
      </c>
      <c r="CO395" s="72">
        <f t="shared" ref="CO395" si="3656">AI395</f>
        <v>184</v>
      </c>
      <c r="CP395" s="72">
        <f t="shared" ref="CP395" si="3657">AM395</f>
        <v>236</v>
      </c>
      <c r="CQ395" s="72">
        <f t="shared" ref="CQ395" si="3658">AQ395</f>
        <v>272</v>
      </c>
      <c r="CR395" s="72">
        <f t="shared" ref="CR395" si="3659">AU395</f>
        <v>307</v>
      </c>
      <c r="CS395" s="72">
        <f t="shared" ref="CS395" si="3660">AY395</f>
        <v>325</v>
      </c>
      <c r="CT395" s="23" t="e">
        <f t="shared" ref="CT395" si="3661">M395-K395</f>
        <v>#VALUE!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29" x14ac:dyDescent="0.2">
      <c r="A396" s="3" t="str">
        <f t="shared" ref="A396" si="3662">CONCATENATE(B396,"_",C396)</f>
        <v>pd2r2_human_6D26</v>
      </c>
      <c r="B396" s="3" t="s">
        <v>359</v>
      </c>
      <c r="C396" s="3" t="s">
        <v>1513</v>
      </c>
      <c r="D396" s="3" t="str">
        <f>IFERROR(MID(VLOOKUP($B396,Seqs!$A:$B,2,0),E396,1),"")</f>
        <v>D</v>
      </c>
      <c r="E396" s="3">
        <v>32</v>
      </c>
      <c r="F396" s="3" t="str">
        <f>IFERROR(MID(VLOOKUP($B396,Seqs!$A:$B,2,0),G396,1),"")</f>
        <v>R</v>
      </c>
      <c r="G396" s="3">
        <v>60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T</v>
      </c>
      <c r="M396" s="3">
        <v>64</v>
      </c>
      <c r="N396" s="3" t="str">
        <f>IFERROR(MID(VLOOKUP($B396,Seqs!$A:$B,2,0),O396,1),"")</f>
        <v>G</v>
      </c>
      <c r="O396" s="3">
        <v>94</v>
      </c>
      <c r="P396" s="3" t="str">
        <f>IFERROR(MID(VLOOKUP($B396,Seqs!$A:$B,2,0),Q396,1),"")</f>
        <v>S</v>
      </c>
      <c r="Q396" s="3">
        <v>96</v>
      </c>
      <c r="R396" s="3" t="str">
        <f>IFERROR(MID(VLOOKUP($B396,Seqs!$A:$B,2,0),S396,1),"")</f>
        <v>L</v>
      </c>
      <c r="S396" s="3">
        <v>99</v>
      </c>
      <c r="T396" s="3" t="str">
        <f>IFERROR(MID(VLOOKUP($B396,Seqs!$A:$B,2,0),U396,1),"")</f>
        <v>T</v>
      </c>
      <c r="U396" s="3">
        <v>101</v>
      </c>
      <c r="V396" s="3" t="str">
        <f>IFERROR(MID(VLOOKUP($B396,Seqs!$A:$B,2,0),W396,1),"")</f>
        <v>R</v>
      </c>
      <c r="W396" s="3">
        <v>135</v>
      </c>
      <c r="X396" s="3" t="str">
        <f>IFERROR(MID(VLOOKUP($B396,Seqs!$A:$B,2,0),Y396,1),"")</f>
        <v>P</v>
      </c>
      <c r="Y396" s="3">
        <v>136</v>
      </c>
      <c r="Z396" s="3" t="str">
        <f>IFERROR(MID(VLOOKUP($B396,Seqs!$A:$B,2,0),AA396,1),"")</f>
        <v>R</v>
      </c>
      <c r="AA396" s="3">
        <v>143</v>
      </c>
      <c r="AB396" s="3" t="str">
        <f>IFERROR(MID(VLOOKUP($B396,Seqs!$A:$B,2,0),AC396,1),"")</f>
        <v>T</v>
      </c>
      <c r="AC396" s="3">
        <v>144</v>
      </c>
      <c r="AD396" s="3" t="str">
        <f>IFERROR(MID(VLOOKUP($B396,Seqs!$A:$B,2,0),AE396,1),"")</f>
        <v>R</v>
      </c>
      <c r="AE396" s="3">
        <v>170</v>
      </c>
      <c r="AF396" s="3" t="str">
        <f>IFERROR(MID(VLOOKUP($B396,Seqs!$A:$B,2,0),AG396,1),"")</f>
        <v>C</v>
      </c>
      <c r="AG396" s="3">
        <v>182</v>
      </c>
      <c r="AH396" s="3" t="str">
        <f>IFERROR(MID(VLOOKUP($B396,Seqs!$A:$B,2,0),AI396,1),"")</f>
        <v>Y</v>
      </c>
      <c r="AI396" s="3">
        <v>184</v>
      </c>
      <c r="AJ396" s="3" t="str">
        <f>IFERROR(MID(VLOOKUP($B396,Seqs!$A:$B,2,0),AK396,1),"")</f>
        <v>D</v>
      </c>
      <c r="AK396" s="3">
        <v>194</v>
      </c>
      <c r="AL396" s="3" t="str">
        <f>IFERROR(MID(VLOOKUP($B396,Seqs!$A:$B,2,0),AM396,1),"")</f>
        <v>R</v>
      </c>
      <c r="AM396" s="3">
        <v>236</v>
      </c>
      <c r="AN396" s="3" t="str">
        <f>IFERROR(MID(VLOOKUP($B396,Seqs!$A:$B,2,0),AO396,1),"")</f>
        <v/>
      </c>
      <c r="AO396" s="3">
        <v>2244</v>
      </c>
      <c r="AP396" s="3" t="str">
        <f>IFERROR(MID(VLOOKUP($B396,Seqs!$A:$B,2,0),AQ396,1),"")</f>
        <v/>
      </c>
      <c r="AQ396" s="3">
        <v>2271</v>
      </c>
      <c r="AR396" s="3" t="str">
        <f>IFERROR(MID(VLOOKUP($B396,Seqs!$A:$B,2,0),AS396,1),"")</f>
        <v/>
      </c>
      <c r="AS396" s="3">
        <v>2278</v>
      </c>
      <c r="AT396" s="3" t="str">
        <f>IFERROR(MID(VLOOKUP($B396,Seqs!$A:$B,2,0),AU396,1),"")</f>
        <v/>
      </c>
      <c r="AU396" s="3">
        <v>2307</v>
      </c>
      <c r="AV396" s="3" t="str">
        <f>IFERROR(MID(VLOOKUP($B396,Seqs!$A:$B,2,0),AW396,1),"")</f>
        <v/>
      </c>
      <c r="AW396" s="3">
        <v>2308</v>
      </c>
      <c r="AX396" s="3" t="str">
        <f>IFERROR(MID(VLOOKUP($B396,Seqs!$A:$B,2,0),AY396,1),"")</f>
        <v/>
      </c>
      <c r="AY396" s="3">
        <v>2325</v>
      </c>
      <c r="AZ396" s="77" t="str">
        <f>VLOOKUP(B396,Classification!A:D,2,0)</f>
        <v>A</v>
      </c>
      <c r="BA396" s="94" t="str">
        <f>VLOOKUP(B396,Classification!A:D,4,0)</f>
        <v>Prostanoid</v>
      </c>
      <c r="BB396" s="27" t="b">
        <f t="shared" ref="BB396" si="3663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23">
        <f t="shared" ref="BC396" si="3664">_xlfn.AGGREGATE(9,6,CH396:CS396)-_xlfn.AGGREGATE(9,6,BV396:CG396)+12</f>
        <v>257</v>
      </c>
      <c r="BD396" s="2" t="s">
        <v>23</v>
      </c>
      <c r="BE396" s="3" t="s">
        <v>1370</v>
      </c>
      <c r="BF396" s="118">
        <v>2.8</v>
      </c>
      <c r="BG396" s="49" t="s">
        <v>1</v>
      </c>
      <c r="BH396" s="49" t="s">
        <v>1</v>
      </c>
      <c r="BI396" s="1"/>
      <c r="BJ396" s="70" t="s">
        <v>1283</v>
      </c>
      <c r="BK396" s="57" t="s">
        <v>1283</v>
      </c>
      <c r="BL396" s="57" t="s">
        <v>1283</v>
      </c>
      <c r="BM396" s="57" t="s">
        <v>1283</v>
      </c>
      <c r="BN396" s="57" t="s">
        <v>1283</v>
      </c>
      <c r="BO396" s="57" t="s">
        <v>1283</v>
      </c>
      <c r="BP396" s="57" t="s">
        <v>1283</v>
      </c>
      <c r="BQ396" s="57" t="s">
        <v>1283</v>
      </c>
      <c r="BR396" s="57" t="s">
        <v>1283</v>
      </c>
      <c r="BS396" s="57" t="s">
        <v>1283</v>
      </c>
      <c r="BT396" s="57" t="s">
        <v>1283</v>
      </c>
      <c r="BU396" s="57" t="s">
        <v>1283</v>
      </c>
      <c r="BV396" s="70">
        <f t="shared" ref="BV396" si="3665">E396</f>
        <v>32</v>
      </c>
      <c r="BW396" s="71" t="str">
        <f t="shared" ref="BW396" si="3666">I396</f>
        <v>-</v>
      </c>
      <c r="BX396" s="72">
        <f t="shared" ref="BX396" si="3667">M396</f>
        <v>64</v>
      </c>
      <c r="BY396" s="71">
        <f t="shared" ref="BY396" si="3668">Q396</f>
        <v>96</v>
      </c>
      <c r="BZ396" s="72">
        <f t="shared" ref="BZ396" si="3669">U396</f>
        <v>101</v>
      </c>
      <c r="CA396" s="71">
        <f t="shared" ref="CA396" si="3670">Y396</f>
        <v>136</v>
      </c>
      <c r="CB396" s="72">
        <f t="shared" ref="CB396" si="3671">AC396</f>
        <v>144</v>
      </c>
      <c r="CC396" s="71">
        <f t="shared" ref="CC396" si="3672">AG396</f>
        <v>182</v>
      </c>
      <c r="CD396" s="72">
        <f t="shared" ref="CD396" si="3673">AK396</f>
        <v>194</v>
      </c>
      <c r="CE396" s="71">
        <f t="shared" ref="CE396" si="3674">AO396</f>
        <v>2244</v>
      </c>
      <c r="CF396" s="72">
        <f t="shared" ref="CF396" si="3675">AS396</f>
        <v>2278</v>
      </c>
      <c r="CG396" s="71">
        <f t="shared" ref="CG396" si="3676">AW396</f>
        <v>2308</v>
      </c>
      <c r="CH396" s="70">
        <f t="shared" ref="CH396" si="3677">G396</f>
        <v>60</v>
      </c>
      <c r="CI396" s="71" t="str">
        <f t="shared" ref="CI396" si="3678">K396</f>
        <v>-</v>
      </c>
      <c r="CJ396" s="72">
        <f t="shared" ref="CJ396" si="3679">O396</f>
        <v>94</v>
      </c>
      <c r="CK396" s="72">
        <f t="shared" ref="CK396" si="3680">S396</f>
        <v>99</v>
      </c>
      <c r="CL396" s="72">
        <f t="shared" ref="CL396" si="3681">W396</f>
        <v>135</v>
      </c>
      <c r="CM396" s="72">
        <f t="shared" ref="CM396" si="3682">AA396</f>
        <v>143</v>
      </c>
      <c r="CN396" s="72">
        <f t="shared" ref="CN396" si="3683">AE396</f>
        <v>170</v>
      </c>
      <c r="CO396" s="72">
        <f t="shared" ref="CO396" si="3684">AI396</f>
        <v>184</v>
      </c>
      <c r="CP396" s="72">
        <f t="shared" ref="CP396" si="3685">AM396</f>
        <v>236</v>
      </c>
      <c r="CQ396" s="72">
        <f t="shared" ref="CQ396" si="3686">AQ396</f>
        <v>2271</v>
      </c>
      <c r="CR396" s="72">
        <f t="shared" ref="CR396" si="3687">AU396</f>
        <v>2307</v>
      </c>
      <c r="CS396" s="72">
        <f t="shared" ref="CS396" si="3688">AY396</f>
        <v>2325</v>
      </c>
      <c r="CT396" s="23" t="e">
        <f t="shared" ref="CT396" si="3689">M396-K396</f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x14ac:dyDescent="0.2">
      <c r="A397" s="3" t="str">
        <f t="shared" ref="A397" si="3690">CONCATENATE(B397,"_",C397)</f>
        <v>pd2r2_human_6D27</v>
      </c>
      <c r="B397" s="3" t="s">
        <v>359</v>
      </c>
      <c r="C397" s="3" t="s">
        <v>1538</v>
      </c>
      <c r="D397" s="3" t="str">
        <f>IFERROR(MID(VLOOKUP($B397,Seqs!$A:$B,2,0),E397,1),"")</f>
        <v>D</v>
      </c>
      <c r="E397" s="3">
        <v>32</v>
      </c>
      <c r="F397" s="3" t="str">
        <f>IFERROR(MID(VLOOKUP($B397,Seqs!$A:$B,2,0),G397,1),"")</f>
        <v>R</v>
      </c>
      <c r="G397" s="3">
        <v>60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T</v>
      </c>
      <c r="M397" s="3">
        <v>64</v>
      </c>
      <c r="N397" s="3" t="str">
        <f>IFERROR(MID(VLOOKUP($B397,Seqs!$A:$B,2,0),O397,1),"")</f>
        <v>G</v>
      </c>
      <c r="O397" s="3">
        <v>94</v>
      </c>
      <c r="P397" s="3" t="str">
        <f>IFERROR(MID(VLOOKUP($B397,Seqs!$A:$B,2,0),Q397,1),"")</f>
        <v>S</v>
      </c>
      <c r="Q397" s="3">
        <v>96</v>
      </c>
      <c r="R397" s="3" t="str">
        <f>IFERROR(MID(VLOOKUP($B397,Seqs!$A:$B,2,0),S397,1),"")</f>
        <v>L</v>
      </c>
      <c r="S397" s="3">
        <v>99</v>
      </c>
      <c r="T397" s="3" t="str">
        <f>IFERROR(MID(VLOOKUP($B397,Seqs!$A:$B,2,0),U397,1),"")</f>
        <v>T</v>
      </c>
      <c r="U397" s="3">
        <v>101</v>
      </c>
      <c r="V397" s="3" t="str">
        <f>IFERROR(MID(VLOOKUP($B397,Seqs!$A:$B,2,0),W397,1),"")</f>
        <v>R</v>
      </c>
      <c r="W397" s="3">
        <v>135</v>
      </c>
      <c r="X397" s="3" t="str">
        <f>IFERROR(MID(VLOOKUP($B397,Seqs!$A:$B,2,0),Y397,1),"")</f>
        <v>P</v>
      </c>
      <c r="Y397" s="3">
        <v>136</v>
      </c>
      <c r="Z397" s="3" t="str">
        <f>IFERROR(MID(VLOOKUP($B397,Seqs!$A:$B,2,0),AA397,1),"")</f>
        <v>R</v>
      </c>
      <c r="AA397" s="3">
        <v>143</v>
      </c>
      <c r="AB397" s="3" t="str">
        <f>IFERROR(MID(VLOOKUP($B397,Seqs!$A:$B,2,0),AC397,1),"")</f>
        <v>T</v>
      </c>
      <c r="AC397" s="3">
        <v>144</v>
      </c>
      <c r="AD397" s="3" t="str">
        <f>IFERROR(MID(VLOOKUP($B397,Seqs!$A:$B,2,0),AE397,1),"")</f>
        <v>R</v>
      </c>
      <c r="AE397" s="3">
        <v>170</v>
      </c>
      <c r="AF397" s="3" t="str">
        <f>IFERROR(MID(VLOOKUP($B397,Seqs!$A:$B,2,0),AG397,1),"")</f>
        <v>C</v>
      </c>
      <c r="AG397" s="3">
        <v>182</v>
      </c>
      <c r="AH397" s="3" t="str">
        <f>IFERROR(MID(VLOOKUP($B397,Seqs!$A:$B,2,0),AI397,1),"")</f>
        <v>Y</v>
      </c>
      <c r="AI397" s="3">
        <v>184</v>
      </c>
      <c r="AJ397" s="3" t="str">
        <f>IFERROR(MID(VLOOKUP($B397,Seqs!$A:$B,2,0),AK397,1),"")</f>
        <v>D</v>
      </c>
      <c r="AK397" s="3">
        <v>194</v>
      </c>
      <c r="AL397" s="3" t="str">
        <f>IFERROR(MID(VLOOKUP($B397,Seqs!$A:$B,2,0),AM397,1),"")</f>
        <v>R</v>
      </c>
      <c r="AM397" s="3">
        <v>236</v>
      </c>
      <c r="AN397" s="3" t="str">
        <f>IFERROR(MID(VLOOKUP($B397,Seqs!$A:$B,2,0),AO397,1),"")</f>
        <v/>
      </c>
      <c r="AO397" s="3">
        <v>2244</v>
      </c>
      <c r="AP397" s="3" t="str">
        <f>IFERROR(MID(VLOOKUP($B397,Seqs!$A:$B,2,0),AQ397,1),"")</f>
        <v/>
      </c>
      <c r="AQ397" s="3">
        <v>2271</v>
      </c>
      <c r="AR397" s="3" t="str">
        <f>IFERROR(MID(VLOOKUP($B397,Seqs!$A:$B,2,0),AS397,1),"")</f>
        <v/>
      </c>
      <c r="AS397" s="3">
        <v>2278</v>
      </c>
      <c r="AT397" s="3" t="str">
        <f>IFERROR(MID(VLOOKUP($B397,Seqs!$A:$B,2,0),AU397,1),"")</f>
        <v/>
      </c>
      <c r="AU397" s="3">
        <v>2307</v>
      </c>
      <c r="AV397" s="3" t="str">
        <f>IFERROR(MID(VLOOKUP($B397,Seqs!$A:$B,2,0),AW397,1),"")</f>
        <v/>
      </c>
      <c r="AW397" s="3">
        <v>2308</v>
      </c>
      <c r="AX397" s="3" t="str">
        <f>IFERROR(MID(VLOOKUP($B397,Seqs!$A:$B,2,0),AY397,1),"")</f>
        <v/>
      </c>
      <c r="AY397" s="3">
        <v>2325</v>
      </c>
      <c r="AZ397" s="77" t="str">
        <f>VLOOKUP(B397,Classification!A:D,2,0)</f>
        <v>A</v>
      </c>
      <c r="BA397" s="94" t="str">
        <f>VLOOKUP(B397,Classification!A:D,4,0)</f>
        <v>Prostanoid</v>
      </c>
      <c r="BB397" s="27" t="b">
        <f t="shared" ref="BB397" si="3691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" si="3692">_xlfn.AGGREGATE(9,6,CH397:CS397)-_xlfn.AGGREGATE(9,6,BV397:CG397)+12</f>
        <v>257</v>
      </c>
      <c r="BD397" s="2" t="s">
        <v>1372</v>
      </c>
      <c r="BE397" s="3" t="s">
        <v>1370</v>
      </c>
      <c r="BF397" s="118">
        <v>4.74</v>
      </c>
      <c r="BG397" s="49" t="s">
        <v>1</v>
      </c>
      <c r="BH397" s="49" t="s">
        <v>1</v>
      </c>
      <c r="BI397" s="1"/>
      <c r="BJ397" s="70" t="s">
        <v>1283</v>
      </c>
      <c r="BK397" s="57" t="s">
        <v>1283</v>
      </c>
      <c r="BL397" s="57" t="s">
        <v>1283</v>
      </c>
      <c r="BM397" s="57" t="s">
        <v>1283</v>
      </c>
      <c r="BN397" s="57" t="s">
        <v>1283</v>
      </c>
      <c r="BO397" s="57" t="s">
        <v>1283</v>
      </c>
      <c r="BP397" s="57" t="s">
        <v>1283</v>
      </c>
      <c r="BQ397" s="57" t="s">
        <v>1283</v>
      </c>
      <c r="BR397" s="57" t="s">
        <v>1283</v>
      </c>
      <c r="BS397" s="57" t="s">
        <v>1283</v>
      </c>
      <c r="BT397" s="57" t="s">
        <v>1283</v>
      </c>
      <c r="BU397" s="57" t="s">
        <v>1283</v>
      </c>
      <c r="BV397" s="70">
        <f t="shared" ref="BV397" si="3693">E397</f>
        <v>32</v>
      </c>
      <c r="BW397" s="71" t="str">
        <f t="shared" ref="BW397" si="3694">I397</f>
        <v>-</v>
      </c>
      <c r="BX397" s="72">
        <f t="shared" ref="BX397" si="3695">M397</f>
        <v>64</v>
      </c>
      <c r="BY397" s="71">
        <f t="shared" ref="BY397" si="3696">Q397</f>
        <v>96</v>
      </c>
      <c r="BZ397" s="72">
        <f t="shared" ref="BZ397" si="3697">U397</f>
        <v>101</v>
      </c>
      <c r="CA397" s="71">
        <f t="shared" ref="CA397" si="3698">Y397</f>
        <v>136</v>
      </c>
      <c r="CB397" s="72">
        <f t="shared" ref="CB397" si="3699">AC397</f>
        <v>144</v>
      </c>
      <c r="CC397" s="71">
        <f t="shared" ref="CC397" si="3700">AG397</f>
        <v>182</v>
      </c>
      <c r="CD397" s="72">
        <f t="shared" ref="CD397" si="3701">AK397</f>
        <v>194</v>
      </c>
      <c r="CE397" s="71">
        <f t="shared" ref="CE397" si="3702">AO397</f>
        <v>2244</v>
      </c>
      <c r="CF397" s="72">
        <f t="shared" ref="CF397" si="3703">AS397</f>
        <v>2278</v>
      </c>
      <c r="CG397" s="71">
        <f t="shared" ref="CG397" si="3704">AW397</f>
        <v>2308</v>
      </c>
      <c r="CH397" s="70">
        <f t="shared" ref="CH397" si="3705">G397</f>
        <v>60</v>
      </c>
      <c r="CI397" s="71" t="str">
        <f t="shared" ref="CI397" si="3706">K397</f>
        <v>-</v>
      </c>
      <c r="CJ397" s="72">
        <f t="shared" ref="CJ397" si="3707">O397</f>
        <v>94</v>
      </c>
      <c r="CK397" s="72">
        <f t="shared" ref="CK397" si="3708">S397</f>
        <v>99</v>
      </c>
      <c r="CL397" s="72">
        <f t="shared" ref="CL397" si="3709">W397</f>
        <v>135</v>
      </c>
      <c r="CM397" s="72">
        <f t="shared" ref="CM397" si="3710">AA397</f>
        <v>143</v>
      </c>
      <c r="CN397" s="72">
        <f t="shared" ref="CN397" si="3711">AE397</f>
        <v>170</v>
      </c>
      <c r="CO397" s="72">
        <f t="shared" ref="CO397" si="3712">AI397</f>
        <v>184</v>
      </c>
      <c r="CP397" s="72">
        <f t="shared" ref="CP397" si="3713">AM397</f>
        <v>236</v>
      </c>
      <c r="CQ397" s="72">
        <f t="shared" ref="CQ397" si="3714">AQ397</f>
        <v>2271</v>
      </c>
      <c r="CR397" s="72">
        <f t="shared" ref="CR397" si="3715">AU397</f>
        <v>2307</v>
      </c>
      <c r="CS397" s="72">
        <f t="shared" ref="CS397" si="3716">AY397</f>
        <v>2325</v>
      </c>
      <c r="CT397" s="23" t="e">
        <f t="shared" ref="CT397" si="3717">M397-K397</f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x14ac:dyDescent="0.2">
      <c r="A398" s="3" t="str">
        <f t="shared" ref="A398:A400" si="3718">CONCATENATE(B398,"_",C398)</f>
        <v>pe2r3_human__wt</v>
      </c>
      <c r="B398" s="3" t="s">
        <v>362</v>
      </c>
      <c r="C398" s="3" t="s">
        <v>100</v>
      </c>
      <c r="D398" s="3" t="str">
        <f>IFERROR(MID(VLOOKUP($B398,Seqs!$A:$B,2,0),E398,1),"")</f>
        <v>V</v>
      </c>
      <c r="E398" s="3">
        <v>52</v>
      </c>
      <c r="F398" s="3" t="str">
        <f>IFERROR(MID(VLOOKUP($B398,Seqs!$A:$B,2,0),G398,1),"")</f>
        <v>R</v>
      </c>
      <c r="G398" s="3">
        <v>78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K</v>
      </c>
      <c r="M398" s="3">
        <v>85</v>
      </c>
      <c r="N398" s="3" t="str">
        <f>IFERROR(MID(VLOOKUP($B398,Seqs!$A:$B,2,0),O398,1),"")</f>
        <v>K</v>
      </c>
      <c r="O398" s="3">
        <v>117</v>
      </c>
      <c r="P398" s="3" t="str">
        <f>IFERROR(MID(VLOOKUP($B398,Seqs!$A:$B,2,0),Q398,1),"")</f>
        <v>Q</v>
      </c>
      <c r="Q398" s="3">
        <v>118</v>
      </c>
      <c r="R398" s="3" t="str">
        <f>IFERROR(MID(VLOOKUP($B398,Seqs!$A:$B,2,0),S398,1),"")</f>
        <v>S</v>
      </c>
      <c r="S398" s="3">
        <v>126</v>
      </c>
      <c r="T398" s="3" t="str">
        <f>IFERROR(MID(VLOOKUP($B398,Seqs!$A:$B,2,0),U398,1),"")</f>
        <v>G</v>
      </c>
      <c r="U398" s="3">
        <v>127</v>
      </c>
      <c r="V398" s="3" t="str">
        <f>IFERROR(MID(VLOOKUP($B398,Seqs!$A:$B,2,0),W398,1),"")</f>
        <v>A</v>
      </c>
      <c r="W398" s="3">
        <v>161</v>
      </c>
      <c r="X398" s="3" t="str">
        <f>IFERROR(MID(VLOOKUP($B398,Seqs!$A:$B,2,0),Y398,1),"")</f>
        <v>P</v>
      </c>
      <c r="Y398" s="3">
        <v>162</v>
      </c>
      <c r="Z398" s="3" t="str">
        <f>IFERROR(MID(VLOOKUP($B398,Seqs!$A:$B,2,0),AA398,1),"")</f>
        <v>M</v>
      </c>
      <c r="AA398" s="3">
        <v>169</v>
      </c>
      <c r="AB398" s="3" t="str">
        <f>IFERROR(MID(VLOOKUP($B398,Seqs!$A:$B,2,0),AC398,1),"")</f>
        <v>K</v>
      </c>
      <c r="AC398" s="3">
        <v>170</v>
      </c>
      <c r="AD398" s="3" t="str">
        <f>IFERROR(MID(VLOOKUP($B398,Seqs!$A:$B,2,0),AE398,1),"")</f>
        <v>G</v>
      </c>
      <c r="AE398" s="3">
        <v>195</v>
      </c>
      <c r="AF398" s="3" t="str">
        <f>IFERROR(MID(VLOOKUP($B398,Seqs!$A:$B,2,0),AG398,1),"")</f>
        <v>C</v>
      </c>
      <c r="AG398" s="3">
        <v>208</v>
      </c>
      <c r="AH398" s="3" t="str">
        <f>IFERROR(MID(VLOOKUP($B398,Seqs!$A:$B,2,0),AI398,1),"")</f>
        <v>I</v>
      </c>
      <c r="AI398" s="3">
        <v>210</v>
      </c>
      <c r="AJ398" s="3" t="str">
        <f>IFERROR(MID(VLOOKUP($B398,Seqs!$A:$B,2,0),AK398,1),"")</f>
        <v>W</v>
      </c>
      <c r="AK398" s="3">
        <v>225</v>
      </c>
      <c r="AL398" s="3" t="str">
        <f>IFERROR(MID(VLOOKUP($B398,Seqs!$A:$B,2,0),AM398,1),"")</f>
        <v>T</v>
      </c>
      <c r="AM398" s="3">
        <v>265</v>
      </c>
      <c r="AN398" s="3" t="str">
        <f>IFERROR(MID(VLOOKUP($B398,Seqs!$A:$B,2,0),AO398,1),"")</f>
        <v>A</v>
      </c>
      <c r="AO398" s="3">
        <v>271</v>
      </c>
      <c r="AP398" s="3" t="str">
        <f>IFERROR(MID(VLOOKUP($B398,Seqs!$A:$B,2,0),AQ398,1),"")</f>
        <v>S</v>
      </c>
      <c r="AQ398" s="3">
        <v>311</v>
      </c>
      <c r="AR398" s="3" t="str">
        <f>IFERROR(MID(VLOOKUP($B398,Seqs!$A:$B,2,0),AS398,1),"")</f>
        <v>T</v>
      </c>
      <c r="AS398" s="3">
        <v>317</v>
      </c>
      <c r="AT398" s="3" t="str">
        <f>IFERROR(MID(VLOOKUP($B398,Seqs!$A:$B,2,0),AU398,1),"")</f>
        <v>Y</v>
      </c>
      <c r="AU398" s="3">
        <v>346</v>
      </c>
      <c r="AV398" s="3" t="str">
        <f>IFERROR(MID(VLOOKUP($B398,Seqs!$A:$B,2,0),AW398,1),"")</f>
        <v>L</v>
      </c>
      <c r="AW398" s="3">
        <v>347</v>
      </c>
      <c r="AX398" s="3" t="str">
        <f>IFERROR(MID(VLOOKUP($B398,Seqs!$A:$B,2,0),AY398,1),"")</f>
        <v>S</v>
      </c>
      <c r="AY398" s="3">
        <v>369</v>
      </c>
      <c r="AZ398" s="77" t="str">
        <f>VLOOKUP(B398,Classification!A:D,2,0)</f>
        <v>A</v>
      </c>
      <c r="BA398" s="94" t="str">
        <f>VLOOKUP(B398,Classification!A:D,4,0)</f>
        <v>Prostanoid</v>
      </c>
      <c r="BB398" s="27" t="b">
        <f t="shared" ref="BB398:BB400" si="3719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23">
        <f t="shared" ref="BC398:BC400" si="3720">_xlfn.AGGREGATE(9,6,CH398:CS398)-_xlfn.AGGREGATE(9,6,BV398:CG398)+12</f>
        <v>277</v>
      </c>
      <c r="BD398" s="2" t="s">
        <v>23</v>
      </c>
      <c r="BE398" s="3" t="s">
        <v>23</v>
      </c>
      <c r="BF398" s="118" t="s">
        <v>23</v>
      </c>
      <c r="BG398" s="49" t="s">
        <v>23</v>
      </c>
      <c r="BH398" s="49" t="s">
        <v>23</v>
      </c>
      <c r="BI398" s="1"/>
      <c r="BJ398" s="70" t="s">
        <v>1283</v>
      </c>
      <c r="BK398" s="57" t="s">
        <v>1283</v>
      </c>
      <c r="BL398" s="57" t="s">
        <v>1283</v>
      </c>
      <c r="BM398" s="57" t="s">
        <v>1283</v>
      </c>
      <c r="BN398" s="57" t="s">
        <v>1283</v>
      </c>
      <c r="BO398" s="57" t="s">
        <v>1283</v>
      </c>
      <c r="BP398" s="57" t="s">
        <v>1283</v>
      </c>
      <c r="BQ398" s="57" t="s">
        <v>1283</v>
      </c>
      <c r="BR398" s="57" t="s">
        <v>1283</v>
      </c>
      <c r="BS398" s="57" t="s">
        <v>1283</v>
      </c>
      <c r="BT398" s="57" t="s">
        <v>1283</v>
      </c>
      <c r="BU398" s="57" t="s">
        <v>1283</v>
      </c>
      <c r="BV398" s="70">
        <f t="shared" ref="BV398:BV400" si="3721">E398</f>
        <v>52</v>
      </c>
      <c r="BW398" s="71" t="str">
        <f t="shared" ref="BW398:BW400" si="3722">I398</f>
        <v>-</v>
      </c>
      <c r="BX398" s="72">
        <f t="shared" ref="BX398:BX400" si="3723">M398</f>
        <v>85</v>
      </c>
      <c r="BY398" s="71">
        <f t="shared" ref="BY398:BY400" si="3724">Q398</f>
        <v>118</v>
      </c>
      <c r="BZ398" s="72">
        <f t="shared" ref="BZ398:BZ400" si="3725">U398</f>
        <v>127</v>
      </c>
      <c r="CA398" s="71">
        <f t="shared" ref="CA398:CA400" si="3726">Y398</f>
        <v>162</v>
      </c>
      <c r="CB398" s="72">
        <f t="shared" ref="CB398:CB400" si="3727">AC398</f>
        <v>170</v>
      </c>
      <c r="CC398" s="71">
        <f t="shared" ref="CC398:CC400" si="3728">AG398</f>
        <v>208</v>
      </c>
      <c r="CD398" s="72">
        <f t="shared" ref="CD398:CD400" si="3729">AK398</f>
        <v>225</v>
      </c>
      <c r="CE398" s="71">
        <f t="shared" ref="CE398:CE400" si="3730">AO398</f>
        <v>271</v>
      </c>
      <c r="CF398" s="72">
        <f t="shared" ref="CF398:CF400" si="3731">AS398</f>
        <v>317</v>
      </c>
      <c r="CG398" s="71">
        <f t="shared" ref="CG398:CG400" si="3732">AW398</f>
        <v>347</v>
      </c>
      <c r="CH398" s="70">
        <f t="shared" ref="CH398:CH400" si="3733">G398</f>
        <v>78</v>
      </c>
      <c r="CI398" s="71" t="str">
        <f t="shared" ref="CI398:CI400" si="3734">K398</f>
        <v>-</v>
      </c>
      <c r="CJ398" s="72">
        <f t="shared" ref="CJ398:CJ400" si="3735">O398</f>
        <v>117</v>
      </c>
      <c r="CK398" s="72">
        <f t="shared" ref="CK398:CK400" si="3736">S398</f>
        <v>126</v>
      </c>
      <c r="CL398" s="72">
        <f t="shared" ref="CL398:CL400" si="3737">W398</f>
        <v>161</v>
      </c>
      <c r="CM398" s="72">
        <f t="shared" ref="CM398:CM400" si="3738">AA398</f>
        <v>169</v>
      </c>
      <c r="CN398" s="72">
        <f t="shared" ref="CN398:CN400" si="3739">AE398</f>
        <v>195</v>
      </c>
      <c r="CO398" s="72">
        <f t="shared" ref="CO398:CO400" si="3740">AI398</f>
        <v>210</v>
      </c>
      <c r="CP398" s="72">
        <f t="shared" ref="CP398:CP400" si="3741">AM398</f>
        <v>265</v>
      </c>
      <c r="CQ398" s="72">
        <f t="shared" ref="CQ398:CQ400" si="3742">AQ398</f>
        <v>311</v>
      </c>
      <c r="CR398" s="72">
        <f t="shared" ref="CR398:CR400" si="3743">AU398</f>
        <v>346</v>
      </c>
      <c r="CS398" s="72">
        <f t="shared" ref="CS398:CS400" si="3744">AY398</f>
        <v>369</v>
      </c>
      <c r="CT398" s="23" t="e">
        <f t="shared" ref="CT398:CT400" si="3745">M398-K398</f>
        <v>#VALUE!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29" x14ac:dyDescent="0.2">
      <c r="A399" s="3" t="str">
        <f t="shared" ref="A399" si="3746">CONCATENATE(B399,"_",C399)</f>
        <v>pe2r3_human_6AK3</v>
      </c>
      <c r="B399" s="3" t="s">
        <v>362</v>
      </c>
      <c r="C399" s="3" t="s">
        <v>1535</v>
      </c>
      <c r="D399" s="3" t="str">
        <f>IFERROR(MID(VLOOKUP($B399,Seqs!$A:$B,2,0),E399,1),"")</f>
        <v>V</v>
      </c>
      <c r="E399" s="3">
        <v>52</v>
      </c>
      <c r="F399" s="3" t="str">
        <f>IFERROR(MID(VLOOKUP($B399,Seqs!$A:$B,2,0),G399,1),"")</f>
        <v>Y</v>
      </c>
      <c r="G399" s="3">
        <v>77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K</v>
      </c>
      <c r="M399" s="3">
        <v>86</v>
      </c>
      <c r="N399" s="3" t="str">
        <f>IFERROR(MID(VLOOKUP($B399,Seqs!$A:$B,2,0),O399,1),"")</f>
        <v>K</v>
      </c>
      <c r="O399" s="3">
        <v>117</v>
      </c>
      <c r="P399" s="3" t="str">
        <f>IFERROR(MID(VLOOKUP($B399,Seqs!$A:$B,2,0),Q399,1),"")</f>
        <v/>
      </c>
      <c r="Q399" s="3" t="s">
        <v>23</v>
      </c>
      <c r="R399" s="3" t="str">
        <f>IFERROR(MID(VLOOKUP($B399,Seqs!$A:$B,2,0),S399,1),"")</f>
        <v/>
      </c>
      <c r="S399" s="3" t="s">
        <v>23</v>
      </c>
      <c r="T399" s="3" t="str">
        <f>IFERROR(MID(VLOOKUP($B399,Seqs!$A:$B,2,0),U399,1),"")</f>
        <v>G</v>
      </c>
      <c r="U399" s="3">
        <v>127</v>
      </c>
      <c r="V399" s="3" t="str">
        <f>IFERROR(MID(VLOOKUP($B399,Seqs!$A:$B,2,0),W399,1),"")</f>
        <v>A</v>
      </c>
      <c r="W399" s="3">
        <v>161</v>
      </c>
      <c r="X399" s="3" t="str">
        <f>IFERROR(MID(VLOOKUP($B399,Seqs!$A:$B,2,0),Y399,1),"")</f>
        <v>P</v>
      </c>
      <c r="Y399" s="3">
        <v>162</v>
      </c>
      <c r="Z399" s="3" t="str">
        <f>IFERROR(MID(VLOOKUP($B399,Seqs!$A:$B,2,0),AA399,1),"")</f>
        <v>M</v>
      </c>
      <c r="AA399" s="3">
        <v>169</v>
      </c>
      <c r="AB399" s="3" t="str">
        <f>IFERROR(MID(VLOOKUP($B399,Seqs!$A:$B,2,0),AC399,1),"")</f>
        <v>K</v>
      </c>
      <c r="AC399" s="3">
        <v>170</v>
      </c>
      <c r="AD399" s="3" t="str">
        <f>IFERROR(MID(VLOOKUP($B399,Seqs!$A:$B,2,0),AE399,1),"")</f>
        <v>G</v>
      </c>
      <c r="AE399" s="3">
        <v>195</v>
      </c>
      <c r="AF399" s="3" t="str">
        <f>IFERROR(MID(VLOOKUP($B399,Seqs!$A:$B,2,0),AG399,1),"")</f>
        <v>C</v>
      </c>
      <c r="AG399" s="3">
        <v>208</v>
      </c>
      <c r="AH399" s="3" t="str">
        <f>IFERROR(MID(VLOOKUP($B399,Seqs!$A:$B,2,0),AI399,1),"")</f>
        <v>I</v>
      </c>
      <c r="AI399" s="3">
        <v>210</v>
      </c>
      <c r="AJ399" s="3" t="str">
        <f>IFERROR(MID(VLOOKUP($B399,Seqs!$A:$B,2,0),AK399,1),"")</f>
        <v>G</v>
      </c>
      <c r="AK399" s="3">
        <v>226</v>
      </c>
      <c r="AL399" s="3" t="str">
        <f>IFERROR(MID(VLOOKUP($B399,Seqs!$A:$B,2,0),AM399,1),"")</f>
        <v>A</v>
      </c>
      <c r="AM399" s="3">
        <v>264</v>
      </c>
      <c r="AN399" s="3" t="str">
        <f>IFERROR(MID(VLOOKUP($B399,Seqs!$A:$B,2,0),AO399,1),"")</f>
        <v>A</v>
      </c>
      <c r="AO399" s="3">
        <v>271</v>
      </c>
      <c r="AP399" s="3" t="str">
        <f>IFERROR(MID(VLOOKUP($B399,Seqs!$A:$B,2,0),AQ399,1),"")</f>
        <v>F</v>
      </c>
      <c r="AQ399" s="3">
        <v>307</v>
      </c>
      <c r="AR399" s="3" t="str">
        <f>IFERROR(MID(VLOOKUP($B399,Seqs!$A:$B,2,0),AS399,1),"")</f>
        <v>K</v>
      </c>
      <c r="AS399" s="3">
        <v>323</v>
      </c>
      <c r="AT399" s="3" t="str">
        <f>IFERROR(MID(VLOOKUP($B399,Seqs!$A:$B,2,0),AU399,1),"")</f>
        <v>Y</v>
      </c>
      <c r="AU399" s="3">
        <v>346</v>
      </c>
      <c r="AV399" s="3" t="str">
        <f>IFERROR(MID(VLOOKUP($B399,Seqs!$A:$B,2,0),AW399,1),"")</f>
        <v>L</v>
      </c>
      <c r="AW399" s="3">
        <v>347</v>
      </c>
      <c r="AX399" s="3" t="str">
        <f>IFERROR(MID(VLOOKUP($B399,Seqs!$A:$B,2,0),AY399,1),"")</f>
        <v>L</v>
      </c>
      <c r="AY399" s="3">
        <v>353</v>
      </c>
      <c r="AZ399" s="77" t="str">
        <f>VLOOKUP(B399,Classification!A:D,2,0)</f>
        <v>A</v>
      </c>
      <c r="BA399" s="94" t="str">
        <f>VLOOKUP(B399,Classification!A:D,4,0)</f>
        <v>Prostanoid</v>
      </c>
      <c r="BB399" s="27" t="b">
        <f t="shared" ref="BB399" si="3747">AND(E399&lt;G399,OR(G399&lt;I399,I399="-"),OR(I399&lt;K399,I399="-"),OR(K399&lt;M399,K399="-"),M399&lt;O399,OR(O399&lt;Q399,Q399="-"),OR(Q399&lt;S399,Q399="-"),OR(S399&lt;U399,S399="-"),U399&lt;W399,OR(W399&lt;Y399,Y399="-"),OR(Y399&lt;AA399,Y399="-"),OR(AA399&lt;AC399,AA399="-"),AC399&lt;AE399,OR(AE399&lt;AG399,AG399="-"),OR(AG399&lt;AI399,AG399="-"),OR(AI399&lt;AK399,AI399="-"),AK399&lt;AM399,AM399&lt;AO399,AO399&lt;AQ399,AQ399&lt;AS399,AS399&lt;AU399,OR(AU399&lt;AW399,AW399="-"),OR(AW399&lt;AY399,AW399="-"))</f>
        <v>1</v>
      </c>
      <c r="BC399" s="23">
        <f t="shared" ref="BC399" si="3748">_xlfn.AGGREGATE(9,6,CH399:CS399)-_xlfn.AGGREGATE(9,6,BV399:CG399)+12</f>
        <v>239</v>
      </c>
      <c r="BD399" s="2" t="s">
        <v>1371</v>
      </c>
      <c r="BE399" s="3" t="s">
        <v>1287</v>
      </c>
      <c r="BF399" s="118">
        <v>2.9</v>
      </c>
      <c r="BG399" s="49" t="s">
        <v>1277</v>
      </c>
      <c r="BH399" s="49" t="s">
        <v>1277</v>
      </c>
      <c r="BI399" s="1"/>
      <c r="BJ399" s="70" t="s">
        <v>1283</v>
      </c>
      <c r="BK399" s="57" t="s">
        <v>1283</v>
      </c>
      <c r="BL399" s="57" t="s">
        <v>1283</v>
      </c>
      <c r="BM399" s="57" t="s">
        <v>1283</v>
      </c>
      <c r="BN399" s="57" t="s">
        <v>1283</v>
      </c>
      <c r="BO399" s="57" t="s">
        <v>1283</v>
      </c>
      <c r="BP399" s="57" t="s">
        <v>1283</v>
      </c>
      <c r="BQ399" s="57" t="s">
        <v>1283</v>
      </c>
      <c r="BR399" s="57" t="s">
        <v>1283</v>
      </c>
      <c r="BS399" s="57" t="s">
        <v>1283</v>
      </c>
      <c r="BT399" s="57" t="s">
        <v>1283</v>
      </c>
      <c r="BU399" s="57" t="s">
        <v>1283</v>
      </c>
      <c r="BV399" s="70">
        <f t="shared" ref="BV399" si="3749">E399</f>
        <v>52</v>
      </c>
      <c r="BW399" s="71" t="str">
        <f t="shared" ref="BW399" si="3750">I399</f>
        <v>-</v>
      </c>
      <c r="BX399" s="72">
        <f t="shared" ref="BX399" si="3751">M399</f>
        <v>86</v>
      </c>
      <c r="BY399" s="71" t="str">
        <f t="shared" ref="BY399" si="3752">Q399</f>
        <v>-</v>
      </c>
      <c r="BZ399" s="72">
        <f t="shared" ref="BZ399" si="3753">U399</f>
        <v>127</v>
      </c>
      <c r="CA399" s="71">
        <f t="shared" ref="CA399" si="3754">Y399</f>
        <v>162</v>
      </c>
      <c r="CB399" s="72">
        <f t="shared" ref="CB399" si="3755">AC399</f>
        <v>170</v>
      </c>
      <c r="CC399" s="71">
        <f t="shared" ref="CC399" si="3756">AG399</f>
        <v>208</v>
      </c>
      <c r="CD399" s="72">
        <f t="shared" ref="CD399" si="3757">AK399</f>
        <v>226</v>
      </c>
      <c r="CE399" s="71">
        <f t="shared" ref="CE399" si="3758">AO399</f>
        <v>271</v>
      </c>
      <c r="CF399" s="72">
        <f t="shared" ref="CF399" si="3759">AS399</f>
        <v>323</v>
      </c>
      <c r="CG399" s="71">
        <f t="shared" ref="CG399" si="3760">AW399</f>
        <v>347</v>
      </c>
      <c r="CH399" s="70">
        <f t="shared" ref="CH399" si="3761">G399</f>
        <v>77</v>
      </c>
      <c r="CI399" s="71" t="str">
        <f t="shared" ref="CI399" si="3762">K399</f>
        <v>-</v>
      </c>
      <c r="CJ399" s="72">
        <f t="shared" ref="CJ399" si="3763">O399</f>
        <v>117</v>
      </c>
      <c r="CK399" s="72" t="str">
        <f t="shared" ref="CK399" si="3764">S399</f>
        <v>-</v>
      </c>
      <c r="CL399" s="72">
        <f t="shared" ref="CL399" si="3765">W399</f>
        <v>161</v>
      </c>
      <c r="CM399" s="72">
        <f t="shared" ref="CM399" si="3766">AA399</f>
        <v>169</v>
      </c>
      <c r="CN399" s="72">
        <f t="shared" ref="CN399" si="3767">AE399</f>
        <v>195</v>
      </c>
      <c r="CO399" s="72">
        <f t="shared" ref="CO399" si="3768">AI399</f>
        <v>210</v>
      </c>
      <c r="CP399" s="72">
        <f t="shared" ref="CP399" si="3769">AM399</f>
        <v>264</v>
      </c>
      <c r="CQ399" s="72">
        <f t="shared" ref="CQ399" si="3770">AQ399</f>
        <v>307</v>
      </c>
      <c r="CR399" s="72">
        <f t="shared" ref="CR399" si="3771">AU399</f>
        <v>346</v>
      </c>
      <c r="CS399" s="72">
        <f t="shared" ref="CS399" si="3772">AY399</f>
        <v>353</v>
      </c>
      <c r="CT399" s="23" t="e">
        <f t="shared" ref="CT399" si="3773">M399-K399</f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29" x14ac:dyDescent="0.2">
      <c r="A400" s="3" t="str">
        <f t="shared" si="3718"/>
        <v>pe2r3_human_6M9T</v>
      </c>
      <c r="B400" s="3" t="s">
        <v>362</v>
      </c>
      <c r="C400" s="3" t="s">
        <v>1534</v>
      </c>
      <c r="D400" s="3" t="str">
        <f>IFERROR(MID(VLOOKUP($B400,Seqs!$A:$B,2,0),E400,1),"")</f>
        <v>V</v>
      </c>
      <c r="E400" s="3">
        <v>52</v>
      </c>
      <c r="F400" s="3" t="str">
        <f>IFERROR(MID(VLOOKUP($B400,Seqs!$A:$B,2,0),G400,1),"")</f>
        <v>R</v>
      </c>
      <c r="G400" s="3">
        <v>78</v>
      </c>
      <c r="H400" s="3" t="str">
        <f>IFERROR(MID(VLOOKUP($B400,Seqs!$A:$B,2,0),I400,1),"")</f>
        <v/>
      </c>
      <c r="I400" s="23" t="s">
        <v>23</v>
      </c>
      <c r="J400" s="3" t="str">
        <f>IFERROR(MID(VLOOKUP($B400,Seqs!$A:$B,2,0),K400,1),"")</f>
        <v/>
      </c>
      <c r="K400" s="23" t="s">
        <v>23</v>
      </c>
      <c r="L400" s="3" t="str">
        <f>IFERROR(MID(VLOOKUP($B400,Seqs!$A:$B,2,0),M400,1),"")</f>
        <v>K</v>
      </c>
      <c r="M400" s="3">
        <v>85</v>
      </c>
      <c r="N400" s="3" t="str">
        <f>IFERROR(MID(VLOOKUP($B400,Seqs!$A:$B,2,0),O400,1),"")</f>
        <v>K</v>
      </c>
      <c r="O400" s="3">
        <v>117</v>
      </c>
      <c r="P400" s="3" t="str">
        <f>IFERROR(MID(VLOOKUP($B400,Seqs!$A:$B,2,0),Q400,1),"")</f>
        <v>Q</v>
      </c>
      <c r="Q400" s="3">
        <v>118</v>
      </c>
      <c r="R400" s="3" t="str">
        <f>IFERROR(MID(VLOOKUP($B400,Seqs!$A:$B,2,0),S400,1),"")</f>
        <v>S</v>
      </c>
      <c r="S400" s="3">
        <v>126</v>
      </c>
      <c r="T400" s="3" t="str">
        <f>IFERROR(MID(VLOOKUP($B400,Seqs!$A:$B,2,0),U400,1),"")</f>
        <v>G</v>
      </c>
      <c r="U400" s="3">
        <v>127</v>
      </c>
      <c r="V400" s="3" t="str">
        <f>IFERROR(MID(VLOOKUP($B400,Seqs!$A:$B,2,0),W400,1),"")</f>
        <v>A</v>
      </c>
      <c r="W400" s="3">
        <v>161</v>
      </c>
      <c r="X400" s="3" t="str">
        <f>IFERROR(MID(VLOOKUP($B400,Seqs!$A:$B,2,0),Y400,1),"")</f>
        <v>P</v>
      </c>
      <c r="Y400" s="3">
        <v>162</v>
      </c>
      <c r="Z400" s="3" t="str">
        <f>IFERROR(MID(VLOOKUP($B400,Seqs!$A:$B,2,0),AA400,1),"")</f>
        <v>M</v>
      </c>
      <c r="AA400" s="3">
        <v>169</v>
      </c>
      <c r="AB400" s="3" t="str">
        <f>IFERROR(MID(VLOOKUP($B400,Seqs!$A:$B,2,0),AC400,1),"")</f>
        <v>K</v>
      </c>
      <c r="AC400" s="3">
        <v>170</v>
      </c>
      <c r="AD400" s="3" t="str">
        <f>IFERROR(MID(VLOOKUP($B400,Seqs!$A:$B,2,0),AE400,1),"")</f>
        <v>G</v>
      </c>
      <c r="AE400" s="3">
        <v>195</v>
      </c>
      <c r="AF400" s="3" t="str">
        <f>IFERROR(MID(VLOOKUP($B400,Seqs!$A:$B,2,0),AG400,1),"")</f>
        <v>C</v>
      </c>
      <c r="AG400" s="3">
        <v>208</v>
      </c>
      <c r="AH400" s="3" t="str">
        <f>IFERROR(MID(VLOOKUP($B400,Seqs!$A:$B,2,0),AI400,1),"")</f>
        <v>I</v>
      </c>
      <c r="AI400" s="3">
        <v>210</v>
      </c>
      <c r="AJ400" s="3" t="str">
        <f>IFERROR(MID(VLOOKUP($B400,Seqs!$A:$B,2,0),AK400,1),"")</f>
        <v>W</v>
      </c>
      <c r="AK400" s="3">
        <v>225</v>
      </c>
      <c r="AL400" s="3" t="str">
        <f>IFERROR(MID(VLOOKUP($B400,Seqs!$A:$B,2,0),AM400,1),"")</f>
        <v>S</v>
      </c>
      <c r="AM400" s="3">
        <v>258</v>
      </c>
      <c r="AN400" s="3" t="str">
        <f>IFERROR(MID(VLOOKUP($B400,Seqs!$A:$B,2,0),AO400,1),"")</f>
        <v>R</v>
      </c>
      <c r="AO400" s="3">
        <v>275</v>
      </c>
      <c r="AP400" s="3" t="str">
        <f>IFERROR(MID(VLOOKUP($B400,Seqs!$A:$B,2,0),AQ400,1),"")</f>
        <v>F</v>
      </c>
      <c r="AQ400" s="3">
        <v>307</v>
      </c>
      <c r="AR400" s="3" t="str">
        <f>IFERROR(MID(VLOOKUP($B400,Seqs!$A:$B,2,0),AS400,1),"")</f>
        <v>K</v>
      </c>
      <c r="AS400" s="3">
        <v>323</v>
      </c>
      <c r="AT400" s="3" t="str">
        <f>IFERROR(MID(VLOOKUP($B400,Seqs!$A:$B,2,0),AU400,1),"")</f>
        <v>Y</v>
      </c>
      <c r="AU400" s="3">
        <v>346</v>
      </c>
      <c r="AV400" s="3" t="str">
        <f>IFERROR(MID(VLOOKUP($B400,Seqs!$A:$B,2,0),AW400,1),"")</f>
        <v>L</v>
      </c>
      <c r="AW400" s="3">
        <v>347</v>
      </c>
      <c r="AX400" s="3" t="str">
        <f>IFERROR(MID(VLOOKUP($B400,Seqs!$A:$B,2,0),AY400,1),"")</f>
        <v>L</v>
      </c>
      <c r="AY400" s="3">
        <v>353</v>
      </c>
      <c r="AZ400" s="77" t="str">
        <f>VLOOKUP(B400,Classification!A:D,2,0)</f>
        <v>A</v>
      </c>
      <c r="BA400" s="94" t="str">
        <f>VLOOKUP(B400,Classification!A:D,4,0)</f>
        <v>Prostanoid</v>
      </c>
      <c r="BB400" s="27" t="b">
        <f t="shared" si="3719"/>
        <v>1</v>
      </c>
      <c r="BC400" s="23">
        <f t="shared" si="3720"/>
        <v>240</v>
      </c>
      <c r="BD400" s="2" t="s">
        <v>1425</v>
      </c>
      <c r="BE400" s="3" t="s">
        <v>1467</v>
      </c>
      <c r="BF400" s="118">
        <v>2.5</v>
      </c>
      <c r="BG400" s="49" t="s">
        <v>1</v>
      </c>
      <c r="BH400" s="49" t="s">
        <v>1</v>
      </c>
      <c r="BI400" s="1"/>
      <c r="BJ400" s="70" t="s">
        <v>1283</v>
      </c>
      <c r="BK400" s="57" t="s">
        <v>1283</v>
      </c>
      <c r="BL400" s="57" t="s">
        <v>1283</v>
      </c>
      <c r="BM400" s="57" t="s">
        <v>1283</v>
      </c>
      <c r="BN400" s="57" t="s">
        <v>1283</v>
      </c>
      <c r="BO400" s="57" t="s">
        <v>1283</v>
      </c>
      <c r="BP400" s="57" t="s">
        <v>1283</v>
      </c>
      <c r="BQ400" s="57" t="s">
        <v>1283</v>
      </c>
      <c r="BR400" s="57" t="s">
        <v>1283</v>
      </c>
      <c r="BS400" s="57" t="s">
        <v>1283</v>
      </c>
      <c r="BT400" s="57" t="s">
        <v>1283</v>
      </c>
      <c r="BU400" s="57" t="s">
        <v>1283</v>
      </c>
      <c r="BV400" s="70">
        <f t="shared" si="3721"/>
        <v>52</v>
      </c>
      <c r="BW400" s="71" t="str">
        <f t="shared" si="3722"/>
        <v>-</v>
      </c>
      <c r="BX400" s="72">
        <f t="shared" si="3723"/>
        <v>85</v>
      </c>
      <c r="BY400" s="71">
        <f t="shared" si="3724"/>
        <v>118</v>
      </c>
      <c r="BZ400" s="72">
        <f t="shared" si="3725"/>
        <v>127</v>
      </c>
      <c r="CA400" s="71">
        <f t="shared" si="3726"/>
        <v>162</v>
      </c>
      <c r="CB400" s="72">
        <f t="shared" si="3727"/>
        <v>170</v>
      </c>
      <c r="CC400" s="71">
        <f t="shared" si="3728"/>
        <v>208</v>
      </c>
      <c r="CD400" s="72">
        <f t="shared" si="3729"/>
        <v>225</v>
      </c>
      <c r="CE400" s="71">
        <f t="shared" si="3730"/>
        <v>275</v>
      </c>
      <c r="CF400" s="72">
        <f t="shared" si="3731"/>
        <v>323</v>
      </c>
      <c r="CG400" s="71">
        <f t="shared" si="3732"/>
        <v>347</v>
      </c>
      <c r="CH400" s="70">
        <f t="shared" si="3733"/>
        <v>78</v>
      </c>
      <c r="CI400" s="71" t="str">
        <f t="shared" si="3734"/>
        <v>-</v>
      </c>
      <c r="CJ400" s="72">
        <f t="shared" si="3735"/>
        <v>117</v>
      </c>
      <c r="CK400" s="72">
        <f t="shared" si="3736"/>
        <v>126</v>
      </c>
      <c r="CL400" s="72">
        <f t="shared" si="3737"/>
        <v>161</v>
      </c>
      <c r="CM400" s="72">
        <f t="shared" si="3738"/>
        <v>169</v>
      </c>
      <c r="CN400" s="72">
        <f t="shared" si="3739"/>
        <v>195</v>
      </c>
      <c r="CO400" s="72">
        <f t="shared" si="3740"/>
        <v>210</v>
      </c>
      <c r="CP400" s="72">
        <f t="shared" si="3741"/>
        <v>258</v>
      </c>
      <c r="CQ400" s="72">
        <f t="shared" si="3742"/>
        <v>307</v>
      </c>
      <c r="CR400" s="72">
        <f t="shared" si="3743"/>
        <v>346</v>
      </c>
      <c r="CS400" s="72">
        <f t="shared" si="3744"/>
        <v>353</v>
      </c>
      <c r="CT400" s="23" t="e">
        <f t="shared" si="3745"/>
        <v>#VALUE!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29" x14ac:dyDescent="0.2">
      <c r="A401" s="3" t="str">
        <f t="shared" ref="A401" si="3774">CONCATENATE(B401,"_",C401)</f>
        <v>pe2r4_human__wt</v>
      </c>
      <c r="B401" s="3" t="s">
        <v>363</v>
      </c>
      <c r="C401" s="3" t="s">
        <v>100</v>
      </c>
      <c r="D401" s="3" t="str">
        <f>IFERROR(MID(VLOOKUP($B401,Seqs!$A:$B,2,0),E401,1),"")</f>
        <v>N</v>
      </c>
      <c r="E401" s="3">
        <v>18</v>
      </c>
      <c r="F401" s="3" t="str">
        <f>IFERROR(MID(VLOOKUP($B401,Seqs!$A:$B,2,0),G401,1),"")</f>
        <v>C</v>
      </c>
      <c r="G401" s="3">
        <v>43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E</v>
      </c>
      <c r="M401" s="3">
        <v>51</v>
      </c>
      <c r="N401" s="3" t="str">
        <f>IFERROR(MID(VLOOKUP($B401,Seqs!$A:$B,2,0),O401,1),"")</f>
        <v>K</v>
      </c>
      <c r="O401" s="3">
        <v>82</v>
      </c>
      <c r="P401" s="3" t="str">
        <f>IFERROR(MID(VLOOKUP($B401,Seqs!$A:$B,2,0),Q401,1),"")</f>
        <v>Q</v>
      </c>
      <c r="Q401" s="3">
        <v>84</v>
      </c>
      <c r="R401" s="3" t="str">
        <f>IFERROR(MID(VLOOKUP($B401,Seqs!$A:$B,2,0),S401,1),"")</f>
        <v>G</v>
      </c>
      <c r="S401" s="3">
        <v>87</v>
      </c>
      <c r="T401" s="3" t="str">
        <f>IFERROR(MID(VLOOKUP($B401,Seqs!$A:$B,2,0),U401,1),"")</f>
        <v>G</v>
      </c>
      <c r="U401" s="3">
        <v>88</v>
      </c>
      <c r="V401" s="3" t="str">
        <f>IFERROR(MID(VLOOKUP($B401,Seqs!$A:$B,2,0),W401,1),"")</f>
        <v>H</v>
      </c>
      <c r="W401" s="3">
        <v>123</v>
      </c>
      <c r="X401" s="3" t="str">
        <f>IFERROR(MID(VLOOKUP($B401,Seqs!$A:$B,2,0),Y401,1),"")</f>
        <v>A</v>
      </c>
      <c r="Y401" s="3">
        <v>124</v>
      </c>
      <c r="Z401" s="3" t="str">
        <f>IFERROR(MID(VLOOKUP($B401,Seqs!$A:$B,2,0),AA401,1),"")</f>
        <v>V</v>
      </c>
      <c r="AA401" s="3">
        <v>131</v>
      </c>
      <c r="AB401" s="3" t="str">
        <f>IFERROR(MID(VLOOKUP($B401,Seqs!$A:$B,2,0),AC401,1),"")</f>
        <v>D</v>
      </c>
      <c r="AC401" s="3">
        <v>132</v>
      </c>
      <c r="AD401" s="3" t="str">
        <f>IFERROR(MID(VLOOKUP($B401,Seqs!$A:$B,2,0),AE401,1),"")</f>
        <v>G</v>
      </c>
      <c r="AE401" s="3">
        <v>157</v>
      </c>
      <c r="AF401" s="3" t="str">
        <f>IFERROR(MID(VLOOKUP($B401,Seqs!$A:$B,2,0),AG401,1),"")</f>
        <v>C</v>
      </c>
      <c r="AG401" s="3">
        <v>170</v>
      </c>
      <c r="AH401" s="3" t="str">
        <f>IFERROR(MID(VLOOKUP($B401,Seqs!$A:$B,2,0),AI401,1),"")</f>
        <v>I</v>
      </c>
      <c r="AI401" s="3">
        <v>172</v>
      </c>
      <c r="AJ401" s="3" t="str">
        <f>IFERROR(MID(VLOOKUP($B401,Seqs!$A:$B,2,0),AK401,1),"")</f>
        <v>V</v>
      </c>
      <c r="AK401" s="3">
        <v>178</v>
      </c>
      <c r="AL401" s="3" t="str">
        <f>IFERROR(MID(VLOOKUP($B401,Seqs!$A:$B,2,0),AM401,1),"")</f>
        <v>L</v>
      </c>
      <c r="AM401" s="3">
        <v>223</v>
      </c>
      <c r="AN401" s="3" t="str">
        <f>IFERROR(MID(VLOOKUP($B401,Seqs!$A:$B,2,0),AO401,1),"")</f>
        <v>R</v>
      </c>
      <c r="AO401" s="3">
        <v>261</v>
      </c>
      <c r="AP401" s="3" t="str">
        <f>IFERROR(MID(VLOOKUP($B401,Seqs!$A:$B,2,0),AQ401,1),"")</f>
        <v>Y</v>
      </c>
      <c r="AQ401" s="3">
        <v>298</v>
      </c>
      <c r="AR401" s="3" t="str">
        <f>IFERROR(MID(VLOOKUP($B401,Seqs!$A:$B,2,0),AS401,1),"")</f>
        <v>N</v>
      </c>
      <c r="AS401" s="3">
        <v>309</v>
      </c>
      <c r="AT401" s="3" t="str">
        <f>IFERROR(MID(VLOOKUP($B401,Seqs!$A:$B,2,0),AU401,1),"")</f>
        <v>L</v>
      </c>
      <c r="AU401" s="3">
        <v>332</v>
      </c>
      <c r="AV401" s="3" t="str">
        <f>IFERROR(MID(VLOOKUP($B401,Seqs!$A:$B,2,0),AW401,1),"")</f>
        <v>R</v>
      </c>
      <c r="AW401" s="3">
        <v>333</v>
      </c>
      <c r="AX401" s="3" t="str">
        <f>IFERROR(MID(VLOOKUP($B401,Seqs!$A:$B,2,0),AY401,1),"")</f>
        <v>C</v>
      </c>
      <c r="AY401" s="3">
        <v>346</v>
      </c>
      <c r="AZ401" s="77" t="str">
        <f>VLOOKUP(B401,Classification!A:D,2,0)</f>
        <v>A</v>
      </c>
      <c r="BA401" s="94" t="str">
        <f>VLOOKUP(B401,Classification!A:D,4,0)</f>
        <v>Prostanoid</v>
      </c>
      <c r="BB401" s="27" t="b">
        <f t="shared" ref="BB401" si="3775"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23">
        <f t="shared" ref="BC401" si="3776">_xlfn.AGGREGATE(9,6,CH401:CS401)-_xlfn.AGGREGATE(9,6,BV401:CG401)+12</f>
        <v>258</v>
      </c>
      <c r="BD401" s="2" t="s">
        <v>23</v>
      </c>
      <c r="BE401" s="3" t="s">
        <v>23</v>
      </c>
      <c r="BF401" s="118" t="s">
        <v>23</v>
      </c>
      <c r="BG401" s="49" t="s">
        <v>23</v>
      </c>
      <c r="BH401" s="49" t="s">
        <v>23</v>
      </c>
      <c r="BI401" s="1"/>
      <c r="BJ401" s="70" t="s">
        <v>1283</v>
      </c>
      <c r="BK401" s="57" t="s">
        <v>1283</v>
      </c>
      <c r="BL401" s="57" t="s">
        <v>1283</v>
      </c>
      <c r="BM401" s="57" t="s">
        <v>1283</v>
      </c>
      <c r="BN401" s="57" t="s">
        <v>1283</v>
      </c>
      <c r="BO401" s="57" t="s">
        <v>1283</v>
      </c>
      <c r="BP401" s="57" t="s">
        <v>1283</v>
      </c>
      <c r="BQ401" s="57" t="s">
        <v>1283</v>
      </c>
      <c r="BR401" s="57" t="s">
        <v>1283</v>
      </c>
      <c r="BS401" s="57" t="s">
        <v>1283</v>
      </c>
      <c r="BT401" s="57" t="s">
        <v>1283</v>
      </c>
      <c r="BU401" s="57" t="s">
        <v>1283</v>
      </c>
      <c r="BV401" s="70">
        <f t="shared" ref="BV401" si="3777">E401</f>
        <v>18</v>
      </c>
      <c r="BW401" s="71" t="str">
        <f t="shared" ref="BW401" si="3778">I401</f>
        <v>-</v>
      </c>
      <c r="BX401" s="72">
        <f t="shared" ref="BX401" si="3779">M401</f>
        <v>51</v>
      </c>
      <c r="BY401" s="71">
        <f t="shared" ref="BY401" si="3780">Q401</f>
        <v>84</v>
      </c>
      <c r="BZ401" s="72">
        <f t="shared" ref="BZ401" si="3781">U401</f>
        <v>88</v>
      </c>
      <c r="CA401" s="71">
        <f t="shared" ref="CA401" si="3782">Y401</f>
        <v>124</v>
      </c>
      <c r="CB401" s="72">
        <f t="shared" ref="CB401" si="3783">AC401</f>
        <v>132</v>
      </c>
      <c r="CC401" s="71">
        <f t="shared" ref="CC401" si="3784">AG401</f>
        <v>170</v>
      </c>
      <c r="CD401" s="72">
        <f t="shared" ref="CD401" si="3785">AK401</f>
        <v>178</v>
      </c>
      <c r="CE401" s="71">
        <f t="shared" ref="CE401" si="3786">AO401</f>
        <v>261</v>
      </c>
      <c r="CF401" s="72">
        <f t="shared" ref="CF401" si="3787">AS401</f>
        <v>309</v>
      </c>
      <c r="CG401" s="71">
        <f t="shared" ref="CG401" si="3788">AW401</f>
        <v>333</v>
      </c>
      <c r="CH401" s="70">
        <f t="shared" ref="CH401" si="3789">G401</f>
        <v>43</v>
      </c>
      <c r="CI401" s="71" t="str">
        <f t="shared" ref="CI401" si="3790">K401</f>
        <v>-</v>
      </c>
      <c r="CJ401" s="72">
        <f t="shared" ref="CJ401" si="3791">O401</f>
        <v>82</v>
      </c>
      <c r="CK401" s="72">
        <f t="shared" ref="CK401" si="3792">S401</f>
        <v>87</v>
      </c>
      <c r="CL401" s="72">
        <f t="shared" ref="CL401" si="3793">W401</f>
        <v>123</v>
      </c>
      <c r="CM401" s="72">
        <f t="shared" ref="CM401" si="3794">AA401</f>
        <v>131</v>
      </c>
      <c r="CN401" s="72">
        <f t="shared" ref="CN401" si="3795">AE401</f>
        <v>157</v>
      </c>
      <c r="CO401" s="72">
        <f t="shared" ref="CO401" si="3796">AI401</f>
        <v>172</v>
      </c>
      <c r="CP401" s="72">
        <f t="shared" ref="CP401" si="3797">AM401</f>
        <v>223</v>
      </c>
      <c r="CQ401" s="72">
        <f t="shared" ref="CQ401" si="3798">AQ401</f>
        <v>298</v>
      </c>
      <c r="CR401" s="72">
        <f t="shared" ref="CR401" si="3799">AU401</f>
        <v>332</v>
      </c>
      <c r="CS401" s="72">
        <f t="shared" ref="CS401" si="3800">AY401</f>
        <v>346</v>
      </c>
      <c r="CT401" s="23" t="e">
        <f t="shared" ref="CT401" si="3801">M401-K401</f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29" x14ac:dyDescent="0.2">
      <c r="A402" s="3" t="str">
        <f>CONCATENATE(B402,"_",C402)</f>
        <v>pe2r4_human_5YWY</v>
      </c>
      <c r="B402" s="3" t="s">
        <v>363</v>
      </c>
      <c r="C402" s="3" t="s">
        <v>1532</v>
      </c>
      <c r="D402" s="3" t="str">
        <f>IFERROR(MID(VLOOKUP($B402,Seqs!$A:$B,2,0),E402,1),"")</f>
        <v>N</v>
      </c>
      <c r="E402" s="3">
        <v>18</v>
      </c>
      <c r="F402" s="3" t="str">
        <f>IFERROR(MID(VLOOKUP($B402,Seqs!$A:$B,2,0),G402,1),"")</f>
        <v>C</v>
      </c>
      <c r="G402" s="3">
        <v>43</v>
      </c>
      <c r="H402" s="3" t="str">
        <f>IFERROR(MID(VLOOKUP($B402,Seqs!$A:$B,2,0),I402,1),"")</f>
        <v/>
      </c>
      <c r="I402" s="23" t="s">
        <v>23</v>
      </c>
      <c r="J402" s="3" t="str">
        <f>IFERROR(MID(VLOOKUP($B402,Seqs!$A:$B,2,0),K402,1),"")</f>
        <v/>
      </c>
      <c r="K402" s="23" t="s">
        <v>23</v>
      </c>
      <c r="L402" s="3" t="str">
        <f>IFERROR(MID(VLOOKUP($B402,Seqs!$A:$B,2,0),M402,1),"")</f>
        <v>E</v>
      </c>
      <c r="M402" s="3">
        <v>51</v>
      </c>
      <c r="N402" s="3" t="str">
        <f>IFERROR(MID(VLOOKUP($B402,Seqs!$A:$B,2,0),O402,1),"")</f>
        <v>K</v>
      </c>
      <c r="O402" s="3">
        <v>82</v>
      </c>
      <c r="P402" s="3" t="str">
        <f>IFERROR(MID(VLOOKUP($B402,Seqs!$A:$B,2,0),Q402,1),"")</f>
        <v>Q</v>
      </c>
      <c r="Q402" s="3">
        <v>84</v>
      </c>
      <c r="R402" s="3" t="str">
        <f>IFERROR(MID(VLOOKUP($B402,Seqs!$A:$B,2,0),S402,1),"")</f>
        <v>G</v>
      </c>
      <c r="S402" s="3">
        <v>87</v>
      </c>
      <c r="T402" s="3" t="str">
        <f>IFERROR(MID(VLOOKUP($B402,Seqs!$A:$B,2,0),U402,1),"")</f>
        <v>G</v>
      </c>
      <c r="U402" s="3">
        <v>88</v>
      </c>
      <c r="V402" s="3" t="str">
        <f>IFERROR(MID(VLOOKUP($B402,Seqs!$A:$B,2,0),W402,1),"")</f>
        <v>H</v>
      </c>
      <c r="W402" s="3">
        <v>123</v>
      </c>
      <c r="X402" s="3" t="str">
        <f>IFERROR(MID(VLOOKUP($B402,Seqs!$A:$B,2,0),Y402,1),"")</f>
        <v>A</v>
      </c>
      <c r="Y402" s="3">
        <v>124</v>
      </c>
      <c r="Z402" s="3" t="str">
        <f>IFERROR(MID(VLOOKUP($B402,Seqs!$A:$B,2,0),AA402,1),"")</f>
        <v>V</v>
      </c>
      <c r="AA402" s="3">
        <v>131</v>
      </c>
      <c r="AB402" s="3" t="str">
        <f>IFERROR(MID(VLOOKUP($B402,Seqs!$A:$B,2,0),AC402,1),"")</f>
        <v>D</v>
      </c>
      <c r="AC402" s="3">
        <v>132</v>
      </c>
      <c r="AD402" s="3" t="str">
        <f>IFERROR(MID(VLOOKUP($B402,Seqs!$A:$B,2,0),AE402,1),"")</f>
        <v>G</v>
      </c>
      <c r="AE402" s="3">
        <v>157</v>
      </c>
      <c r="AF402" s="3" t="str">
        <f>IFERROR(MID(VLOOKUP($B402,Seqs!$A:$B,2,0),AG402,1),"")</f>
        <v>C</v>
      </c>
      <c r="AG402" s="3">
        <v>170</v>
      </c>
      <c r="AH402" s="3" t="str">
        <f>IFERROR(MID(VLOOKUP($B402,Seqs!$A:$B,2,0),AI402,1),"")</f>
        <v>I</v>
      </c>
      <c r="AI402" s="3">
        <v>172</v>
      </c>
      <c r="AJ402" s="3" t="str">
        <f>IFERROR(MID(VLOOKUP($B402,Seqs!$A:$B,2,0),AK402,1),"")</f>
        <v>V</v>
      </c>
      <c r="AK402" s="3">
        <v>178</v>
      </c>
      <c r="AL402" s="3" t="str">
        <f>IFERROR(MID(VLOOKUP($B402,Seqs!$A:$B,2,0),AM402,1),"")</f>
        <v>H</v>
      </c>
      <c r="AM402" s="3">
        <v>214</v>
      </c>
      <c r="AN402" s="3" t="str">
        <f>IFERROR(MID(VLOOKUP($B402,Seqs!$A:$B,2,0),AO402,1),"")</f>
        <v>A</v>
      </c>
      <c r="AO402" s="3">
        <v>266</v>
      </c>
      <c r="AP402" s="3" t="str">
        <f>IFERROR(MID(VLOOKUP($B402,Seqs!$A:$B,2,0),AQ402,1),"")</f>
        <v>Y</v>
      </c>
      <c r="AQ402" s="3">
        <v>298</v>
      </c>
      <c r="AR402" s="3" t="str">
        <f>IFERROR(MID(VLOOKUP($B402,Seqs!$A:$B,2,0),AS402,1),"")</f>
        <v>N</v>
      </c>
      <c r="AS402" s="3">
        <v>309</v>
      </c>
      <c r="AT402" s="3" t="str">
        <f>IFERROR(MID(VLOOKUP($B402,Seqs!$A:$B,2,0),AU402,1),"")</f>
        <v>L</v>
      </c>
      <c r="AU402" s="3">
        <v>332</v>
      </c>
      <c r="AV402" s="3" t="str">
        <f>IFERROR(MID(VLOOKUP($B402,Seqs!$A:$B,2,0),AW402,1),"")</f>
        <v>R</v>
      </c>
      <c r="AW402" s="3">
        <v>333</v>
      </c>
      <c r="AX402" s="3" t="str">
        <f>IFERROR(MID(VLOOKUP($B402,Seqs!$A:$B,2,0),AY402,1),"")</f>
        <v>I</v>
      </c>
      <c r="AY402" s="3">
        <v>344</v>
      </c>
      <c r="AZ402" s="77" t="str">
        <f>VLOOKUP(B402,Classification!A:D,2,0)</f>
        <v>A</v>
      </c>
      <c r="BA402" s="94" t="str">
        <f>VLOOKUP(B402,Classification!A:D,4,0)</f>
        <v>Prostanoid</v>
      </c>
      <c r="BB402" s="27" t="b">
        <f>AND(E402&lt;G402,OR(G402&lt;I402,I402="-"),OR(I402&lt;K402,I402="-"),OR(K402&lt;M402,K402="-"),M402&lt;O402,OR(O402&lt;Q402,Q402="-"),OR(Q402&lt;S402,Q402="-"),OR(S402&lt;U402,S402="-"),U402&lt;W402,OR(W402&lt;Y402,Y402="-"),OR(Y402&lt;AA402,Y402="-"),OR(AA402&lt;AC402,AA402="-"),AC402&lt;AE402,OR(AE402&lt;AG402,AG402="-"),OR(AG402&lt;AI402,AG402="-"),OR(AI402&lt;AK402,AI402="-"),AK402&lt;AM402,AM402&lt;AO402,AO402&lt;AQ402,AQ402&lt;AS402,AS402&lt;AU402,OR(AU402&lt;AW402,AW402="-"),OR(AW402&lt;AY402,AW402="-"))</f>
        <v>1</v>
      </c>
      <c r="BC402" s="23">
        <f>_xlfn.AGGREGATE(9,6,CH402:CS402)-_xlfn.AGGREGATE(9,6,BV402:CG402)+12</f>
        <v>242</v>
      </c>
      <c r="BD402" s="2" t="s">
        <v>1372</v>
      </c>
      <c r="BE402" s="3" t="s">
        <v>1370</v>
      </c>
      <c r="BF402" s="118">
        <v>3.2</v>
      </c>
      <c r="BG402" s="49" t="s">
        <v>1</v>
      </c>
      <c r="BH402" s="49" t="s">
        <v>1</v>
      </c>
      <c r="BI402" s="1"/>
      <c r="BJ402" s="70" t="s">
        <v>1283</v>
      </c>
      <c r="BK402" s="57" t="s">
        <v>1283</v>
      </c>
      <c r="BL402" s="57" t="s">
        <v>1283</v>
      </c>
      <c r="BM402" s="57" t="s">
        <v>1283</v>
      </c>
      <c r="BN402" s="57" t="s">
        <v>1283</v>
      </c>
      <c r="BO402" s="57" t="s">
        <v>1283</v>
      </c>
      <c r="BP402" s="57" t="s">
        <v>1283</v>
      </c>
      <c r="BQ402" s="57" t="s">
        <v>1283</v>
      </c>
      <c r="BR402" s="57" t="s">
        <v>1283</v>
      </c>
      <c r="BS402" s="57" t="s">
        <v>1283</v>
      </c>
      <c r="BT402" s="57" t="s">
        <v>1283</v>
      </c>
      <c r="BU402" s="57" t="s">
        <v>1283</v>
      </c>
      <c r="BV402" s="70">
        <f>E402</f>
        <v>18</v>
      </c>
      <c r="BW402" s="71" t="str">
        <f>I402</f>
        <v>-</v>
      </c>
      <c r="BX402" s="72">
        <f>M402</f>
        <v>51</v>
      </c>
      <c r="BY402" s="71">
        <f>Q402</f>
        <v>84</v>
      </c>
      <c r="BZ402" s="72">
        <f>U402</f>
        <v>88</v>
      </c>
      <c r="CA402" s="71">
        <f>Y402</f>
        <v>124</v>
      </c>
      <c r="CB402" s="72">
        <f>AC402</f>
        <v>132</v>
      </c>
      <c r="CC402" s="71">
        <f>AG402</f>
        <v>170</v>
      </c>
      <c r="CD402" s="72">
        <f>AK402</f>
        <v>178</v>
      </c>
      <c r="CE402" s="71">
        <f>AO402</f>
        <v>266</v>
      </c>
      <c r="CF402" s="72">
        <f>AS402</f>
        <v>309</v>
      </c>
      <c r="CG402" s="71">
        <f>AW402</f>
        <v>333</v>
      </c>
      <c r="CH402" s="70">
        <f>G402</f>
        <v>43</v>
      </c>
      <c r="CI402" s="71" t="str">
        <f>K402</f>
        <v>-</v>
      </c>
      <c r="CJ402" s="72">
        <f>O402</f>
        <v>82</v>
      </c>
      <c r="CK402" s="72">
        <f>S402</f>
        <v>87</v>
      </c>
      <c r="CL402" s="72">
        <f>W402</f>
        <v>123</v>
      </c>
      <c r="CM402" s="72">
        <f>AA402</f>
        <v>131</v>
      </c>
      <c r="CN402" s="72">
        <f>AE402</f>
        <v>157</v>
      </c>
      <c r="CO402" s="72">
        <f>AI402</f>
        <v>172</v>
      </c>
      <c r="CP402" s="72">
        <f>AM402</f>
        <v>214</v>
      </c>
      <c r="CQ402" s="72">
        <f>AQ402</f>
        <v>298</v>
      </c>
      <c r="CR402" s="72">
        <f>AU402</f>
        <v>332</v>
      </c>
      <c r="CS402" s="72">
        <f>AY402</f>
        <v>344</v>
      </c>
      <c r="CT402" s="23" t="e">
        <f>M402-K402</f>
        <v>#VALUE!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29" x14ac:dyDescent="0.2">
      <c r="A403" s="3" t="str">
        <f>CONCATENATE(B403,"_",C403)</f>
        <v>pe2r4_human_5YHL</v>
      </c>
      <c r="B403" s="3" t="s">
        <v>363</v>
      </c>
      <c r="C403" s="3" t="s">
        <v>1533</v>
      </c>
      <c r="D403" s="3" t="str">
        <f>IFERROR(MID(VLOOKUP($B403,Seqs!$A:$B,2,0),E403,1),"")</f>
        <v>N</v>
      </c>
      <c r="E403" s="3">
        <v>18</v>
      </c>
      <c r="F403" s="3" t="str">
        <f>IFERROR(MID(VLOOKUP($B403,Seqs!$A:$B,2,0),G403,1),"")</f>
        <v>C</v>
      </c>
      <c r="G403" s="3">
        <v>43</v>
      </c>
      <c r="H403" s="3" t="str">
        <f>IFERROR(MID(VLOOKUP($B403,Seqs!$A:$B,2,0),I403,1),"")</f>
        <v/>
      </c>
      <c r="I403" s="23" t="s">
        <v>23</v>
      </c>
      <c r="J403" s="3" t="str">
        <f>IFERROR(MID(VLOOKUP($B403,Seqs!$A:$B,2,0),K403,1),"")</f>
        <v/>
      </c>
      <c r="K403" s="23" t="s">
        <v>23</v>
      </c>
      <c r="L403" s="3" t="str">
        <f>IFERROR(MID(VLOOKUP($B403,Seqs!$A:$B,2,0),M403,1),"")</f>
        <v>E</v>
      </c>
      <c r="M403" s="3">
        <v>51</v>
      </c>
      <c r="N403" s="3" t="str">
        <f>IFERROR(MID(VLOOKUP($B403,Seqs!$A:$B,2,0),O403,1),"")</f>
        <v>K</v>
      </c>
      <c r="O403" s="3">
        <v>82</v>
      </c>
      <c r="P403" s="3" t="str">
        <f>IFERROR(MID(VLOOKUP($B403,Seqs!$A:$B,2,0),Q403,1),"")</f>
        <v>Q</v>
      </c>
      <c r="Q403" s="3">
        <v>84</v>
      </c>
      <c r="R403" s="3" t="str">
        <f>IFERROR(MID(VLOOKUP($B403,Seqs!$A:$B,2,0),S403,1),"")</f>
        <v>G</v>
      </c>
      <c r="S403" s="3">
        <v>87</v>
      </c>
      <c r="T403" s="3" t="str">
        <f>IFERROR(MID(VLOOKUP($B403,Seqs!$A:$B,2,0),U403,1),"")</f>
        <v>G</v>
      </c>
      <c r="U403" s="3">
        <v>88</v>
      </c>
      <c r="V403" s="3" t="str">
        <f>IFERROR(MID(VLOOKUP($B403,Seqs!$A:$B,2,0),W403,1),"")</f>
        <v>H</v>
      </c>
      <c r="W403" s="3">
        <v>123</v>
      </c>
      <c r="X403" s="3" t="str">
        <f>IFERROR(MID(VLOOKUP($B403,Seqs!$A:$B,2,0),Y403,1),"")</f>
        <v>A</v>
      </c>
      <c r="Y403" s="3">
        <v>124</v>
      </c>
      <c r="Z403" s="3" t="str">
        <f>IFERROR(MID(VLOOKUP($B403,Seqs!$A:$B,2,0),AA403,1),"")</f>
        <v>V</v>
      </c>
      <c r="AA403" s="3">
        <v>131</v>
      </c>
      <c r="AB403" s="3" t="str">
        <f>IFERROR(MID(VLOOKUP($B403,Seqs!$A:$B,2,0),AC403,1),"")</f>
        <v>D</v>
      </c>
      <c r="AC403" s="3">
        <v>132</v>
      </c>
      <c r="AD403" s="3" t="str">
        <f>IFERROR(MID(VLOOKUP($B403,Seqs!$A:$B,2,0),AE403,1),"")</f>
        <v>G</v>
      </c>
      <c r="AE403" s="3">
        <v>157</v>
      </c>
      <c r="AF403" s="3" t="str">
        <f>IFERROR(MID(VLOOKUP($B403,Seqs!$A:$B,2,0),AG403,1),"")</f>
        <v>C</v>
      </c>
      <c r="AG403" s="3">
        <v>170</v>
      </c>
      <c r="AH403" s="3" t="str">
        <f>IFERROR(MID(VLOOKUP($B403,Seqs!$A:$B,2,0),AI403,1),"")</f>
        <v>I</v>
      </c>
      <c r="AI403" s="3">
        <v>172</v>
      </c>
      <c r="AJ403" s="3" t="str">
        <f>IFERROR(MID(VLOOKUP($B403,Seqs!$A:$B,2,0),AK403,1),"")</f>
        <v>V</v>
      </c>
      <c r="AK403" s="3">
        <v>178</v>
      </c>
      <c r="AL403" s="3" t="str">
        <f>IFERROR(MID(VLOOKUP($B403,Seqs!$A:$B,2,0),AM403,1),"")</f>
        <v>H</v>
      </c>
      <c r="AM403" s="3">
        <v>214</v>
      </c>
      <c r="AN403" s="3" t="str">
        <f>IFERROR(MID(VLOOKUP($B403,Seqs!$A:$B,2,0),AO403,1),"")</f>
        <v>A</v>
      </c>
      <c r="AO403" s="3">
        <v>266</v>
      </c>
      <c r="AP403" s="3" t="str">
        <f>IFERROR(MID(VLOOKUP($B403,Seqs!$A:$B,2,0),AQ403,1),"")</f>
        <v>Y</v>
      </c>
      <c r="AQ403" s="3">
        <v>298</v>
      </c>
      <c r="AR403" s="3" t="str">
        <f>IFERROR(MID(VLOOKUP($B403,Seqs!$A:$B,2,0),AS403,1),"")</f>
        <v>N</v>
      </c>
      <c r="AS403" s="3">
        <v>309</v>
      </c>
      <c r="AT403" s="3" t="str">
        <f>IFERROR(MID(VLOOKUP($B403,Seqs!$A:$B,2,0),AU403,1),"")</f>
        <v>L</v>
      </c>
      <c r="AU403" s="3">
        <v>332</v>
      </c>
      <c r="AV403" s="3" t="str">
        <f>IFERROR(MID(VLOOKUP($B403,Seqs!$A:$B,2,0),AW403,1),"")</f>
        <v>R</v>
      </c>
      <c r="AW403" s="3">
        <v>333</v>
      </c>
      <c r="AX403" s="3" t="str">
        <f>IFERROR(MID(VLOOKUP($B403,Seqs!$A:$B,2,0),AY403,1),"")</f>
        <v>I</v>
      </c>
      <c r="AY403" s="3">
        <v>344</v>
      </c>
      <c r="AZ403" s="77" t="str">
        <f>VLOOKUP(B403,Classification!A:D,2,0)</f>
        <v>A</v>
      </c>
      <c r="BA403" s="94" t="str">
        <f>VLOOKUP(B403,Classification!A:D,4,0)</f>
        <v>Prostanoid</v>
      </c>
      <c r="BB403" s="27" t="b">
        <f>AND(E403&lt;G403,OR(G403&lt;I403,I403="-"),OR(I403&lt;K403,I403="-"),OR(K403&lt;M403,K403="-"),M403&lt;O403,OR(O403&lt;Q403,Q403="-"),OR(Q403&lt;S403,Q403="-"),OR(S403&lt;U403,S403="-"),U403&lt;W403,OR(W403&lt;Y403,Y403="-"),OR(Y403&lt;AA403,Y403="-"),OR(AA403&lt;AC403,AA403="-"),AC403&lt;AE403,OR(AE403&lt;AG403,AG403="-"),OR(AG403&lt;AI403,AG403="-"),OR(AI403&lt;AK403,AI403="-"),AK403&lt;AM403,AM403&lt;AO403,AO403&lt;AQ403,AQ403&lt;AS403,AS403&lt;AU403,OR(AU403&lt;AW403,AW403="-"),OR(AW403&lt;AY403,AW403="-"))</f>
        <v>1</v>
      </c>
      <c r="BC403" s="23">
        <f>_xlfn.AGGREGATE(9,6,CH403:CS403)-_xlfn.AGGREGATE(9,6,BV403:CG403)+12</f>
        <v>242</v>
      </c>
      <c r="BD403" s="2" t="s">
        <v>23</v>
      </c>
      <c r="BE403" s="3" t="s">
        <v>1370</v>
      </c>
      <c r="BF403" s="118">
        <v>4.2</v>
      </c>
      <c r="BG403" s="49" t="s">
        <v>1</v>
      </c>
      <c r="BH403" s="49" t="s">
        <v>1</v>
      </c>
      <c r="BI403" s="1"/>
      <c r="BJ403" s="70" t="s">
        <v>1283</v>
      </c>
      <c r="BK403" s="57" t="s">
        <v>1283</v>
      </c>
      <c r="BL403" s="57" t="s">
        <v>1283</v>
      </c>
      <c r="BM403" s="57" t="s">
        <v>1283</v>
      </c>
      <c r="BN403" s="57" t="s">
        <v>1283</v>
      </c>
      <c r="BO403" s="57" t="s">
        <v>1283</v>
      </c>
      <c r="BP403" s="57" t="s">
        <v>1283</v>
      </c>
      <c r="BQ403" s="57" t="s">
        <v>1283</v>
      </c>
      <c r="BR403" s="57" t="s">
        <v>1283</v>
      </c>
      <c r="BS403" s="57" t="s">
        <v>1283</v>
      </c>
      <c r="BT403" s="57" t="s">
        <v>1283</v>
      </c>
      <c r="BU403" s="57" t="s">
        <v>1283</v>
      </c>
      <c r="BV403" s="70">
        <f>E403</f>
        <v>18</v>
      </c>
      <c r="BW403" s="71" t="str">
        <f>I403</f>
        <v>-</v>
      </c>
      <c r="BX403" s="72">
        <f>M403</f>
        <v>51</v>
      </c>
      <c r="BY403" s="71">
        <f>Q403</f>
        <v>84</v>
      </c>
      <c r="BZ403" s="72">
        <f>U403</f>
        <v>88</v>
      </c>
      <c r="CA403" s="71">
        <f>Y403</f>
        <v>124</v>
      </c>
      <c r="CB403" s="72">
        <f>AC403</f>
        <v>132</v>
      </c>
      <c r="CC403" s="71">
        <f>AG403</f>
        <v>170</v>
      </c>
      <c r="CD403" s="72">
        <f>AK403</f>
        <v>178</v>
      </c>
      <c r="CE403" s="71">
        <f>AO403</f>
        <v>266</v>
      </c>
      <c r="CF403" s="72">
        <f>AS403</f>
        <v>309</v>
      </c>
      <c r="CG403" s="71">
        <f>AW403</f>
        <v>333</v>
      </c>
      <c r="CH403" s="70">
        <f>G403</f>
        <v>43</v>
      </c>
      <c r="CI403" s="71" t="str">
        <f>K403</f>
        <v>-</v>
      </c>
      <c r="CJ403" s="72">
        <f>O403</f>
        <v>82</v>
      </c>
      <c r="CK403" s="72">
        <f>S403</f>
        <v>87</v>
      </c>
      <c r="CL403" s="72">
        <f>W403</f>
        <v>123</v>
      </c>
      <c r="CM403" s="72">
        <f>AA403</f>
        <v>131</v>
      </c>
      <c r="CN403" s="72">
        <f>AE403</f>
        <v>157</v>
      </c>
      <c r="CO403" s="72">
        <f>AI403</f>
        <v>172</v>
      </c>
      <c r="CP403" s="72">
        <f>AM403</f>
        <v>214</v>
      </c>
      <c r="CQ403" s="72">
        <f>AQ403</f>
        <v>298</v>
      </c>
      <c r="CR403" s="72">
        <f>AU403</f>
        <v>332</v>
      </c>
      <c r="CS403" s="72">
        <f>AY403</f>
        <v>344</v>
      </c>
      <c r="CT403" s="23" t="e">
        <f>M403-K403</f>
        <v>#VALUE!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29" x14ac:dyDescent="0.2">
      <c r="A404" s="3" t="str">
        <f>CONCATENATE(B404,"_",C404)</f>
        <v>ptafr_human__wt</v>
      </c>
      <c r="B404" s="3" t="s">
        <v>370</v>
      </c>
      <c r="C404" s="3" t="s">
        <v>100</v>
      </c>
      <c r="D404" s="3" t="str">
        <f>IFERROR(MID(VLOOKUP($B404,Seqs!$A:$B,2,0),E404,1),"")</f>
        <v>D</v>
      </c>
      <c r="E404" s="3">
        <v>10</v>
      </c>
      <c r="F404" s="3" t="str">
        <f>IFERROR(MID(VLOOKUP($B404,Seqs!$A:$B,2,0),G404,1),"")</f>
        <v>Y</v>
      </c>
      <c r="G404" s="3">
        <v>44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F</v>
      </c>
      <c r="M404" s="3">
        <v>49</v>
      </c>
      <c r="N404" s="3" t="str">
        <f>IFERROR(MID(VLOOKUP($B404,Seqs!$A:$B,2,0),O404,1),"")</f>
        <v>Q</v>
      </c>
      <c r="O404" s="3">
        <v>80</v>
      </c>
      <c r="P404" s="3" t="str">
        <f>IFERROR(MID(VLOOKUP($B404,Seqs!$A:$B,2,0),Q404,1),"")</f>
        <v>N</v>
      </c>
      <c r="Q404" s="3">
        <v>82</v>
      </c>
      <c r="R404" s="3" t="str">
        <f>IFERROR(MID(VLOOKUP($B404,Seqs!$A:$B,2,0),S404,1),"")</f>
        <v>L</v>
      </c>
      <c r="S404" s="3">
        <v>85</v>
      </c>
      <c r="T404" s="3" t="str">
        <f>IFERROR(MID(VLOOKUP($B404,Seqs!$A:$B,2,0),U404,1),"")</f>
        <v>P</v>
      </c>
      <c r="U404" s="3">
        <v>86</v>
      </c>
      <c r="V404" s="3" t="str">
        <f>IFERROR(MID(VLOOKUP($B404,Seqs!$A:$B,2,0),W404,1),"")</f>
        <v>R</v>
      </c>
      <c r="W404" s="3">
        <v>121</v>
      </c>
      <c r="X404" s="3" t="str">
        <f>IFERROR(MID(VLOOKUP($B404,Seqs!$A:$B,2,0),Y404,1),"")</f>
        <v>P</v>
      </c>
      <c r="Y404" s="3">
        <v>122</v>
      </c>
      <c r="Z404" s="3" t="str">
        <f>IFERROR(MID(VLOOKUP($B404,Seqs!$A:$B,2,0),AA404,1),"")</f>
        <v>N</v>
      </c>
      <c r="AA404" s="3">
        <v>129</v>
      </c>
      <c r="AB404" s="3" t="str">
        <f>IFERROR(MID(VLOOKUP($B404,Seqs!$A:$B,2,0),AC404,1),"")</f>
        <v>T</v>
      </c>
      <c r="AC404" s="3">
        <v>130</v>
      </c>
      <c r="AD404" s="3" t="str">
        <f>IFERROR(MID(VLOOKUP($B404,Seqs!$A:$B,2,0),AE404,1),"")</f>
        <v>L</v>
      </c>
      <c r="AE404" s="3">
        <v>155</v>
      </c>
      <c r="AF404" s="3" t="str">
        <f>IFERROR(MID(VLOOKUP($B404,Seqs!$A:$B,2,0),AG404,1),"")</f>
        <v>C</v>
      </c>
      <c r="AG404" s="3">
        <v>173</v>
      </c>
      <c r="AH404" s="3" t="str">
        <f>IFERROR(MID(VLOOKUP($B404,Seqs!$A:$B,2,0),AI404,1),"")</f>
        <v>E</v>
      </c>
      <c r="AI404" s="3">
        <v>175</v>
      </c>
      <c r="AJ404" s="3" t="str">
        <f>IFERROR(MID(VLOOKUP($B404,Seqs!$A:$B,2,0),AK404,1),"")</f>
        <v>S</v>
      </c>
      <c r="AK404" s="3">
        <v>181</v>
      </c>
      <c r="AL404" s="3" t="str">
        <f>IFERROR(MID(VLOOKUP($B404,Seqs!$A:$B,2,0),AM404,1),"")</f>
        <v>Q</v>
      </c>
      <c r="AM404" s="3">
        <v>216</v>
      </c>
      <c r="AN404" s="3" t="str">
        <f>IFERROR(MID(VLOOKUP($B404,Seqs!$A:$B,2,0),AO404,1),"")</f>
        <v>Q</v>
      </c>
      <c r="AO404" s="3">
        <v>221</v>
      </c>
      <c r="AP404" s="3" t="str">
        <f>IFERROR(MID(VLOOKUP($B404,Seqs!$A:$B,2,0),AQ404,1),"")</f>
        <v>G</v>
      </c>
      <c r="AQ404" s="3">
        <v>261</v>
      </c>
      <c r="AR404" s="3" t="str">
        <f>IFERROR(MID(VLOOKUP($B404,Seqs!$A:$B,2,0),AS404,1),"")</f>
        <v>D</v>
      </c>
      <c r="AS404" s="3">
        <v>264</v>
      </c>
      <c r="AT404" s="3" t="str">
        <f>IFERROR(MID(VLOOKUP($B404,Seqs!$A:$B,2,0),AU404,1),"")</f>
        <v>K</v>
      </c>
      <c r="AU404" s="3">
        <v>299</v>
      </c>
      <c r="AV404" s="3" t="str">
        <f>IFERROR(MID(VLOOKUP($B404,Seqs!$A:$B,2,0),AW404,1),"")</f>
        <v>F</v>
      </c>
      <c r="AW404" s="3">
        <v>300</v>
      </c>
      <c r="AX404" s="3" t="str">
        <f>IFERROR(MID(VLOOKUP($B404,Seqs!$A:$B,2,0),AY404,1),"")</f>
        <v>S</v>
      </c>
      <c r="AY404" s="3">
        <v>313</v>
      </c>
      <c r="AZ404" s="77" t="str">
        <f>VLOOKUP(B404,Classification!A:D,2,0)</f>
        <v>A</v>
      </c>
      <c r="BA404" s="94" t="str">
        <f>VLOOKUP(B404,Classification!A:D,4,0)</f>
        <v>Platelet-activatingfactor</v>
      </c>
      <c r="BB404" s="27" t="b">
        <f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>_xlfn.AGGREGATE(9,6,CH404:CS404)-_xlfn.AGGREGATE(9,6,BV404:CG404)+12</f>
        <v>272</v>
      </c>
      <c r="BD404" s="2" t="s">
        <v>23</v>
      </c>
      <c r="BE404" s="3" t="s">
        <v>23</v>
      </c>
      <c r="BF404" s="118" t="s">
        <v>23</v>
      </c>
      <c r="BG404" s="49" t="s">
        <v>1373</v>
      </c>
      <c r="BH404" s="49" t="s">
        <v>1373</v>
      </c>
      <c r="BI404" s="1"/>
      <c r="BJ404" s="70" t="s">
        <v>1283</v>
      </c>
      <c r="BK404" s="57" t="s">
        <v>1283</v>
      </c>
      <c r="BL404" s="57" t="s">
        <v>1283</v>
      </c>
      <c r="BM404" s="57" t="s">
        <v>1283</v>
      </c>
      <c r="BN404" s="57" t="s">
        <v>1283</v>
      </c>
      <c r="BO404" s="57" t="s">
        <v>1283</v>
      </c>
      <c r="BP404" s="57" t="s">
        <v>1283</v>
      </c>
      <c r="BQ404" s="57" t="s">
        <v>1283</v>
      </c>
      <c r="BR404" s="57" t="s">
        <v>1283</v>
      </c>
      <c r="BS404" s="57" t="s">
        <v>1283</v>
      </c>
      <c r="BT404" s="57" t="s">
        <v>1283</v>
      </c>
      <c r="BU404" s="57" t="s">
        <v>1283</v>
      </c>
      <c r="BV404" s="70">
        <f>E404</f>
        <v>10</v>
      </c>
      <c r="BW404" s="71" t="str">
        <f>I404</f>
        <v>-</v>
      </c>
      <c r="BX404" s="72">
        <f>M404</f>
        <v>49</v>
      </c>
      <c r="BY404" s="71">
        <f>Q404</f>
        <v>82</v>
      </c>
      <c r="BZ404" s="72">
        <f>U404</f>
        <v>86</v>
      </c>
      <c r="CA404" s="71">
        <f>Y404</f>
        <v>122</v>
      </c>
      <c r="CB404" s="72">
        <f>AC404</f>
        <v>130</v>
      </c>
      <c r="CC404" s="71">
        <f>AG404</f>
        <v>173</v>
      </c>
      <c r="CD404" s="72">
        <f>AK404</f>
        <v>181</v>
      </c>
      <c r="CE404" s="71">
        <f>AO404</f>
        <v>221</v>
      </c>
      <c r="CF404" s="72">
        <f>AS404</f>
        <v>264</v>
      </c>
      <c r="CG404" s="71">
        <f>AW404</f>
        <v>300</v>
      </c>
      <c r="CH404" s="70">
        <f>G404</f>
        <v>44</v>
      </c>
      <c r="CI404" s="71" t="str">
        <f>K404</f>
        <v>-</v>
      </c>
      <c r="CJ404" s="72">
        <f>O404</f>
        <v>80</v>
      </c>
      <c r="CK404" s="72">
        <f>S404</f>
        <v>85</v>
      </c>
      <c r="CL404" s="72">
        <f>W404</f>
        <v>121</v>
      </c>
      <c r="CM404" s="72">
        <f>AA404</f>
        <v>129</v>
      </c>
      <c r="CN404" s="72">
        <f>AE404</f>
        <v>155</v>
      </c>
      <c r="CO404" s="72">
        <f>AI404</f>
        <v>175</v>
      </c>
      <c r="CP404" s="72">
        <f>AM404</f>
        <v>216</v>
      </c>
      <c r="CQ404" s="72">
        <f>AQ404</f>
        <v>261</v>
      </c>
      <c r="CR404" s="72">
        <f>AU404</f>
        <v>299</v>
      </c>
      <c r="CS404" s="72">
        <f>AY404</f>
        <v>313</v>
      </c>
      <c r="CT404" s="23" t="e">
        <f>M404-K404</f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29" x14ac:dyDescent="0.2">
      <c r="A405" s="3" t="str">
        <f>CONCATENATE(B405,"_",C405)</f>
        <v>ptafr_human_5ZKP</v>
      </c>
      <c r="B405" s="3" t="s">
        <v>370</v>
      </c>
      <c r="C405" s="3" t="s">
        <v>1501</v>
      </c>
      <c r="D405" s="3" t="str">
        <f>IFERROR(MID(VLOOKUP($B405,Seqs!$A:$B,2,0),E405,1),"")</f>
        <v>S</v>
      </c>
      <c r="E405" s="3">
        <v>11</v>
      </c>
      <c r="F405" s="3" t="str">
        <f>IFERROR(MID(VLOOKUP($B405,Seqs!$A:$B,2,0),G405,1),"")</f>
        <v>Y</v>
      </c>
      <c r="G405" s="3">
        <v>44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F</v>
      </c>
      <c r="M405" s="3">
        <v>49</v>
      </c>
      <c r="N405" s="3" t="str">
        <f>IFERROR(MID(VLOOKUP($B405,Seqs!$A:$B,2,0),O405,1),"")</f>
        <v>Q</v>
      </c>
      <c r="O405" s="3">
        <v>80</v>
      </c>
      <c r="P405" s="3" t="str">
        <f>IFERROR(MID(VLOOKUP($B405,Seqs!$A:$B,2,0),Q405,1),"")</f>
        <v>N</v>
      </c>
      <c r="Q405" s="3">
        <v>82</v>
      </c>
      <c r="R405" s="3" t="str">
        <f>IFERROR(MID(VLOOKUP($B405,Seqs!$A:$B,2,0),S405,1),"")</f>
        <v>L</v>
      </c>
      <c r="S405" s="3">
        <v>85</v>
      </c>
      <c r="T405" s="3" t="str">
        <f>IFERROR(MID(VLOOKUP($B405,Seqs!$A:$B,2,0),U405,1),"")</f>
        <v>P</v>
      </c>
      <c r="U405" s="3">
        <v>86</v>
      </c>
      <c r="V405" s="3" t="str">
        <f>IFERROR(MID(VLOOKUP($B405,Seqs!$A:$B,2,0),W405,1),"")</f>
        <v>T</v>
      </c>
      <c r="W405" s="3">
        <v>120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I</v>
      </c>
      <c r="AC405" s="3">
        <v>141</v>
      </c>
      <c r="AD405" s="3" t="str">
        <f>IFERROR(MID(VLOOKUP($B405,Seqs!$A:$B,2,0),AE405,1),"")</f>
        <v>L</v>
      </c>
      <c r="AE405" s="3">
        <v>155</v>
      </c>
      <c r="AF405" s="3" t="str">
        <f>IFERROR(MID(VLOOKUP($B405,Seqs!$A:$B,2,0),AG405,1),"")</f>
        <v>C</v>
      </c>
      <c r="AG405" s="3">
        <v>173</v>
      </c>
      <c r="AH405" s="3" t="str">
        <f>IFERROR(MID(VLOOKUP($B405,Seqs!$A:$B,2,0),AI405,1),"")</f>
        <v>E</v>
      </c>
      <c r="AI405" s="3">
        <v>175</v>
      </c>
      <c r="AJ405" s="3" t="str">
        <f>IFERROR(MID(VLOOKUP($B405,Seqs!$A:$B,2,0),AK405,1),"")</f>
        <v>P</v>
      </c>
      <c r="AK405" s="3">
        <v>183</v>
      </c>
      <c r="AL405" s="3" t="str">
        <f>IFERROR(MID(VLOOKUP($B405,Seqs!$A:$B,2,0),AM405,1),"")</f>
        <v>L</v>
      </c>
      <c r="AM405" s="3">
        <v>214</v>
      </c>
      <c r="AN405" s="3" t="str">
        <f>IFERROR(MID(VLOOKUP($B405,Seqs!$A:$B,2,0),AO405,1),"")</f>
        <v>A</v>
      </c>
      <c r="AO405" s="3">
        <v>224</v>
      </c>
      <c r="AP405" s="3" t="str">
        <f>IFERROR(MID(VLOOKUP($B405,Seqs!$A:$B,2,0),AQ405,1),"")</f>
        <v>G</v>
      </c>
      <c r="AQ405" s="3">
        <v>261</v>
      </c>
      <c r="AR405" s="3" t="str">
        <f>IFERROR(MID(VLOOKUP($B405,Seqs!$A:$B,2,0),AS405,1),"")</f>
        <v>D</v>
      </c>
      <c r="AS405" s="3">
        <v>264</v>
      </c>
      <c r="AT405" s="3" t="str">
        <f>IFERROR(MID(VLOOKUP($B405,Seqs!$A:$B,2,0),AU405,1),"")</f>
        <v>K</v>
      </c>
      <c r="AU405" s="3">
        <v>299</v>
      </c>
      <c r="AV405" s="3" t="str">
        <f>IFERROR(MID(VLOOKUP($B405,Seqs!$A:$B,2,0),AW405,1),"")</f>
        <v>F</v>
      </c>
      <c r="AW405" s="3">
        <v>300</v>
      </c>
      <c r="AX405" s="3" t="str">
        <f>IFERROR(MID(VLOOKUP($B405,Seqs!$A:$B,2,0),AY405,1),"")</f>
        <v>S</v>
      </c>
      <c r="AY405" s="3">
        <v>313</v>
      </c>
      <c r="AZ405" s="77" t="str">
        <f>VLOOKUP(B405,Classification!A:D,2,0)</f>
        <v>A</v>
      </c>
      <c r="BA405" s="94" t="str">
        <f>VLOOKUP(B405,Classification!A:D,4,0)</f>
        <v>Platelet-activatingfactor</v>
      </c>
      <c r="BB405" s="27" t="b">
        <f>AND(E405&lt;G405,OR(G405&lt;I405,I405="-"),OR(I405&lt;K405,I405="-"),OR(K405&lt;M405,K405="-"),M405&lt;O405,OR(O405&lt;Q405,Q405="-"),OR(Q405&lt;S405,Q405="-"),OR(S405&lt;U405,S405="-"),U405&lt;W405,OR(W405&lt;Y405,Y405="-"),OR(Y405&lt;AA405,Y405="-"),OR(AA405&lt;AC405,AA405="-"),AC405&lt;AE405,OR(AE405&lt;AG405,AG405="-"),OR(AG405&lt;AI405,AG405="-"),OR(AI405&lt;AK405,AI405="-"),AK405&lt;AM405,AM405&lt;AO405,AO405&lt;AQ405,AQ405&lt;AS405,AS405&lt;AU405,OR(AU405&lt;AW405,AW405="-"),OR(AW405&lt;AY405,AW405="-"))</f>
        <v>1</v>
      </c>
      <c r="BC405" s="23">
        <f>_xlfn.AGGREGATE(9,6,CH405:CS405)-_xlfn.AGGREGATE(9,6,BV405:CG405)+12</f>
        <v>245</v>
      </c>
      <c r="BD405" s="2" t="s">
        <v>1371</v>
      </c>
      <c r="BE405" s="3" t="s">
        <v>1287</v>
      </c>
      <c r="BF405" s="118">
        <v>2.81</v>
      </c>
      <c r="BG405" s="49" t="s">
        <v>1</v>
      </c>
      <c r="BH405" s="49" t="s">
        <v>1</v>
      </c>
      <c r="BI405" s="1"/>
      <c r="BJ405" s="70" t="s">
        <v>1283</v>
      </c>
      <c r="BK405" s="57" t="s">
        <v>1283</v>
      </c>
      <c r="BL405" s="57" t="s">
        <v>1283</v>
      </c>
      <c r="BM405" s="57" t="s">
        <v>1283</v>
      </c>
      <c r="BN405" s="57" t="s">
        <v>1283</v>
      </c>
      <c r="BO405" s="57" t="s">
        <v>1283</v>
      </c>
      <c r="BP405" s="57" t="s">
        <v>1283</v>
      </c>
      <c r="BQ405" s="57" t="s">
        <v>1283</v>
      </c>
      <c r="BR405" s="57" t="s">
        <v>1283</v>
      </c>
      <c r="BS405" s="57" t="s">
        <v>1283</v>
      </c>
      <c r="BT405" s="57" t="s">
        <v>1283</v>
      </c>
      <c r="BU405" s="57" t="s">
        <v>1283</v>
      </c>
      <c r="BV405" s="70">
        <f>E405</f>
        <v>11</v>
      </c>
      <c r="BW405" s="71" t="str">
        <f>I405</f>
        <v>-</v>
      </c>
      <c r="BX405" s="72">
        <f>M405</f>
        <v>49</v>
      </c>
      <c r="BY405" s="71">
        <f>Q405</f>
        <v>82</v>
      </c>
      <c r="BZ405" s="72">
        <f>U405</f>
        <v>86</v>
      </c>
      <c r="CA405" s="71" t="str">
        <f>Y405</f>
        <v>-</v>
      </c>
      <c r="CB405" s="72">
        <f>AC405</f>
        <v>141</v>
      </c>
      <c r="CC405" s="71">
        <f>AG405</f>
        <v>173</v>
      </c>
      <c r="CD405" s="72">
        <f>AK405</f>
        <v>183</v>
      </c>
      <c r="CE405" s="71">
        <f>AO405</f>
        <v>224</v>
      </c>
      <c r="CF405" s="72">
        <f>AS405</f>
        <v>264</v>
      </c>
      <c r="CG405" s="71">
        <f>AW405</f>
        <v>300</v>
      </c>
      <c r="CH405" s="70">
        <f>G405</f>
        <v>44</v>
      </c>
      <c r="CI405" s="71" t="str">
        <f>K405</f>
        <v>-</v>
      </c>
      <c r="CJ405" s="72">
        <f>O405</f>
        <v>80</v>
      </c>
      <c r="CK405" s="72">
        <f>S405</f>
        <v>85</v>
      </c>
      <c r="CL405" s="72">
        <f>W405</f>
        <v>120</v>
      </c>
      <c r="CM405" s="72" t="str">
        <f>AA405</f>
        <v>-</v>
      </c>
      <c r="CN405" s="72">
        <f>AE405</f>
        <v>155</v>
      </c>
      <c r="CO405" s="72">
        <f>AI405</f>
        <v>175</v>
      </c>
      <c r="CP405" s="72">
        <f>AM405</f>
        <v>214</v>
      </c>
      <c r="CQ405" s="72">
        <f>AQ405</f>
        <v>261</v>
      </c>
      <c r="CR405" s="72">
        <f>AU405</f>
        <v>299</v>
      </c>
      <c r="CS405" s="72">
        <f>AY405</f>
        <v>313</v>
      </c>
      <c r="CT405" s="23" t="e">
        <f>M405-K405</f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29" x14ac:dyDescent="0.2">
      <c r="A406" s="3" t="str">
        <f>CONCATENATE(B406,"_",C406)</f>
        <v>ptafr_human_5ZKQ</v>
      </c>
      <c r="B406" s="3" t="s">
        <v>370</v>
      </c>
      <c r="C406" s="3" t="s">
        <v>1502</v>
      </c>
      <c r="D406" s="3" t="str">
        <f>IFERROR(MID(VLOOKUP($B406,Seqs!$A:$B,2,0),E406,1),"")</f>
        <v>D</v>
      </c>
      <c r="E406" s="3">
        <v>10</v>
      </c>
      <c r="F406" s="3" t="str">
        <f>IFERROR(MID(VLOOKUP($B406,Seqs!$A:$B,2,0),G406,1),"")</f>
        <v>L</v>
      </c>
      <c r="G406" s="3">
        <v>43</v>
      </c>
      <c r="H406" s="3" t="str">
        <f>IFERROR(MID(VLOOKUP($B406,Seqs!$A:$B,2,0),I406,1),"")</f>
        <v/>
      </c>
      <c r="I406" s="23" t="s">
        <v>23</v>
      </c>
      <c r="J406" s="3" t="str">
        <f>IFERROR(MID(VLOOKUP($B406,Seqs!$A:$B,2,0),K406,1),"")</f>
        <v/>
      </c>
      <c r="K406" s="23" t="s">
        <v>23</v>
      </c>
      <c r="L406" s="3" t="str">
        <f>IFERROR(MID(VLOOKUP($B406,Seqs!$A:$B,2,0),M406,1),"")</f>
        <v>F</v>
      </c>
      <c r="M406" s="3">
        <v>49</v>
      </c>
      <c r="N406" s="3" t="str">
        <f>IFERROR(MID(VLOOKUP($B406,Seqs!$A:$B,2,0),O406,1),"")</f>
        <v>Q</v>
      </c>
      <c r="O406" s="3">
        <v>80</v>
      </c>
      <c r="P406" s="3" t="str">
        <f>IFERROR(MID(VLOOKUP($B406,Seqs!$A:$B,2,0),Q406,1),"")</f>
        <v>N</v>
      </c>
      <c r="Q406" s="3">
        <v>82</v>
      </c>
      <c r="R406" s="3" t="str">
        <f>IFERROR(MID(VLOOKUP($B406,Seqs!$A:$B,2,0),S406,1),"")</f>
        <v>L</v>
      </c>
      <c r="S406" s="3">
        <v>85</v>
      </c>
      <c r="T406" s="3" t="str">
        <f>IFERROR(MID(VLOOKUP($B406,Seqs!$A:$B,2,0),U406,1),"")</f>
        <v>P</v>
      </c>
      <c r="U406" s="3">
        <v>86</v>
      </c>
      <c r="V406" s="3" t="str">
        <f>IFERROR(MID(VLOOKUP($B406,Seqs!$A:$B,2,0),W406,1),"")</f>
        <v>R</v>
      </c>
      <c r="W406" s="3">
        <v>121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T</v>
      </c>
      <c r="AC406" s="3">
        <v>130</v>
      </c>
      <c r="AD406" s="3" t="str">
        <f>IFERROR(MID(VLOOKUP($B406,Seqs!$A:$B,2,0),AE406,1),"")</f>
        <v>I</v>
      </c>
      <c r="AE406" s="3">
        <v>154</v>
      </c>
      <c r="AF406" s="3" t="str">
        <f>IFERROR(MID(VLOOKUP($B406,Seqs!$A:$B,2,0),AG406,1),"")</f>
        <v>C</v>
      </c>
      <c r="AG406" s="3">
        <v>173</v>
      </c>
      <c r="AH406" s="3" t="str">
        <f>IFERROR(MID(VLOOKUP($B406,Seqs!$A:$B,2,0),AI406,1),"")</f>
        <v>E</v>
      </c>
      <c r="AI406" s="3">
        <v>175</v>
      </c>
      <c r="AJ406" s="3" t="str">
        <f>IFERROR(MID(VLOOKUP($B406,Seqs!$A:$B,2,0),AK406,1),"")</f>
        <v>S</v>
      </c>
      <c r="AK406" s="3">
        <v>181</v>
      </c>
      <c r="AL406" s="3" t="str">
        <f>IFERROR(MID(VLOOKUP($B406,Seqs!$A:$B,2,0),AM406,1),"")</f>
        <v>M</v>
      </c>
      <c r="AM406" s="3">
        <v>215</v>
      </c>
      <c r="AN406" s="3" t="str">
        <f>IFERROR(MID(VLOOKUP($B406,Seqs!$A:$B,2,0),AO406,1),"")</f>
        <v>K</v>
      </c>
      <c r="AO406" s="3">
        <v>227</v>
      </c>
      <c r="AP406" s="3" t="str">
        <f>IFERROR(MID(VLOOKUP($B406,Seqs!$A:$B,2,0),AQ406,1),"")</f>
        <v>G</v>
      </c>
      <c r="AQ406" s="3">
        <v>261</v>
      </c>
      <c r="AR406" s="3" t="str">
        <f>IFERROR(MID(VLOOKUP($B406,Seqs!$A:$B,2,0),AS406,1),"")</f>
        <v>D</v>
      </c>
      <c r="AS406" s="3">
        <v>264</v>
      </c>
      <c r="AT406" s="3" t="str">
        <f>IFERROR(MID(VLOOKUP($B406,Seqs!$A:$B,2,0),AU406,1),"")</f>
        <v>T</v>
      </c>
      <c r="AU406" s="3">
        <v>297</v>
      </c>
      <c r="AV406" s="3" t="str">
        <f>IFERROR(MID(VLOOKUP($B406,Seqs!$A:$B,2,0),AW406,1),"")</f>
        <v/>
      </c>
      <c r="AW406" s="3" t="s">
        <v>23</v>
      </c>
      <c r="AX406" s="3" t="str">
        <f>IFERROR(MID(VLOOKUP($B406,Seqs!$A:$B,2,0),AY406,1),"")</f>
        <v/>
      </c>
      <c r="AY406" s="3" t="s">
        <v>23</v>
      </c>
      <c r="AZ406" s="77" t="str">
        <f>VLOOKUP(B406,Classification!A:D,2,0)</f>
        <v>A</v>
      </c>
      <c r="BA406" s="94" t="str">
        <f>VLOOKUP(B406,Classification!A:D,4,0)</f>
        <v>Platelet-activatingfactor</v>
      </c>
      <c r="BB406" s="27" t="b">
        <f>AND(E406&lt;G406,OR(G406&lt;I406,I406="-"),OR(I406&lt;K406,I406="-"),OR(K406&lt;M406,K406="-"),M406&lt;O406,OR(O406&lt;Q406,Q406="-"),OR(Q406&lt;S406,Q406="-"),OR(S406&lt;U406,S406="-"),U406&lt;W406,OR(W406&lt;Y406,Y406="-"),OR(Y406&lt;AA406,Y406="-"),OR(AA406&lt;AC406,AA406="-"),AC406&lt;AE406,OR(AE406&lt;AG406,AG406="-"),OR(AG406&lt;AI406,AG406="-"),OR(AI406&lt;AK406,AI406="-"),AK406&lt;AM406,AM406&lt;AO406,AO406&lt;AQ406,AQ406&lt;AS406,AS406&lt;AU406,OR(AU406&lt;AW406,AW406="-"),OR(AW406&lt;AY406,AW406="-"))</f>
        <v>1</v>
      </c>
      <c r="BC406" s="23">
        <f>_xlfn.AGGREGATE(9,6,CH406:CS406)-_xlfn.AGGREGATE(9,6,BV406:CG406)+12</f>
        <v>241</v>
      </c>
      <c r="BD406" s="2" t="s">
        <v>1425</v>
      </c>
      <c r="BE406" s="3" t="s">
        <v>1424</v>
      </c>
      <c r="BF406" s="118">
        <v>2.9</v>
      </c>
      <c r="BG406" s="49" t="s">
        <v>1277</v>
      </c>
      <c r="BH406" s="49" t="s">
        <v>1277</v>
      </c>
      <c r="BI406" s="1"/>
      <c r="BJ406" s="70" t="s">
        <v>1283</v>
      </c>
      <c r="BK406" s="57" t="s">
        <v>1283</v>
      </c>
      <c r="BL406" s="57" t="s">
        <v>1283</v>
      </c>
      <c r="BM406" s="57" t="s">
        <v>1283</v>
      </c>
      <c r="BN406" s="57" t="s">
        <v>1283</v>
      </c>
      <c r="BO406" s="57" t="s">
        <v>1283</v>
      </c>
      <c r="BP406" s="57" t="s">
        <v>1283</v>
      </c>
      <c r="BQ406" s="57" t="s">
        <v>1283</v>
      </c>
      <c r="BR406" s="57" t="s">
        <v>1283</v>
      </c>
      <c r="BS406" s="57" t="s">
        <v>1283</v>
      </c>
      <c r="BT406" s="57" t="s">
        <v>1283</v>
      </c>
      <c r="BU406" s="57" t="s">
        <v>1283</v>
      </c>
      <c r="BV406" s="70">
        <f>E406</f>
        <v>10</v>
      </c>
      <c r="BW406" s="71" t="str">
        <f>I406</f>
        <v>-</v>
      </c>
      <c r="BX406" s="72">
        <f>M406</f>
        <v>49</v>
      </c>
      <c r="BY406" s="71">
        <f>Q406</f>
        <v>82</v>
      </c>
      <c r="BZ406" s="72">
        <f>U406</f>
        <v>86</v>
      </c>
      <c r="CA406" s="71" t="str">
        <f>Y406</f>
        <v>-</v>
      </c>
      <c r="CB406" s="72">
        <f>AC406</f>
        <v>130</v>
      </c>
      <c r="CC406" s="71">
        <f>AG406</f>
        <v>173</v>
      </c>
      <c r="CD406" s="72">
        <f>AK406</f>
        <v>181</v>
      </c>
      <c r="CE406" s="71">
        <f>AO406</f>
        <v>227</v>
      </c>
      <c r="CF406" s="72">
        <f>AS406</f>
        <v>264</v>
      </c>
      <c r="CG406" s="71" t="str">
        <f>AW406</f>
        <v>-</v>
      </c>
      <c r="CH406" s="70">
        <f>G406</f>
        <v>43</v>
      </c>
      <c r="CI406" s="71" t="str">
        <f>K406</f>
        <v>-</v>
      </c>
      <c r="CJ406" s="72">
        <f>O406</f>
        <v>80</v>
      </c>
      <c r="CK406" s="72">
        <f>S406</f>
        <v>85</v>
      </c>
      <c r="CL406" s="72">
        <f>W406</f>
        <v>121</v>
      </c>
      <c r="CM406" s="72" t="str">
        <f>AA406</f>
        <v>-</v>
      </c>
      <c r="CN406" s="72">
        <f>AE406</f>
        <v>154</v>
      </c>
      <c r="CO406" s="72">
        <f>AI406</f>
        <v>175</v>
      </c>
      <c r="CP406" s="72">
        <f>AM406</f>
        <v>215</v>
      </c>
      <c r="CQ406" s="72">
        <f>AQ406</f>
        <v>261</v>
      </c>
      <c r="CR406" s="72">
        <f>AU406</f>
        <v>297</v>
      </c>
      <c r="CS406" s="72" t="str">
        <f>AY406</f>
        <v>-</v>
      </c>
      <c r="CT406" s="23" t="e">
        <f>M406-K406</f>
        <v>#VALUE!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29" x14ac:dyDescent="0.2">
      <c r="A407" s="3" t="str">
        <f t="shared" si="3606"/>
        <v>q08bg4_danre__wt</v>
      </c>
      <c r="B407" s="3" t="s">
        <v>1436</v>
      </c>
      <c r="C407" s="3" t="s">
        <v>100</v>
      </c>
      <c r="D407" s="3" t="str">
        <f>IFERROR(MID(VLOOKUP($B407,Seqs!$A:$B,2,0),E407,1),"")</f>
        <v>K</v>
      </c>
      <c r="E407" s="3">
        <v>26</v>
      </c>
      <c r="F407" s="3" t="str">
        <f>IFERROR(MID(VLOOKUP($B407,Seqs!$A:$B,2,0),G407,1),"")</f>
        <v>S</v>
      </c>
      <c r="G407" s="3">
        <v>55</v>
      </c>
      <c r="H407" s="3" t="str">
        <f>IFERROR(MID(VLOOKUP($B407,Seqs!$A:$B,2,0),I407,1),"")</f>
        <v>L</v>
      </c>
      <c r="I407" s="23">
        <v>56</v>
      </c>
      <c r="J407" s="3" t="str">
        <f>IFERROR(MID(VLOOKUP($B407,Seqs!$A:$B,2,0),K407,1),"")</f>
        <v>R</v>
      </c>
      <c r="K407" s="23">
        <v>59</v>
      </c>
      <c r="L407" s="3" t="str">
        <f>IFERROR(MID(VLOOKUP($B407,Seqs!$A:$B,2,0),M407,1),"")</f>
        <v>N</v>
      </c>
      <c r="M407" s="3">
        <v>60</v>
      </c>
      <c r="N407" s="3" t="str">
        <f>IFERROR(MID(VLOOKUP($B407,Seqs!$A:$B,2,0),O407,1),"")</f>
        <v>Q</v>
      </c>
      <c r="O407" s="3">
        <v>89</v>
      </c>
      <c r="P407" s="3" t="str">
        <f>IFERROR(MID(VLOOKUP($B407,Seqs!$A:$B,2,0),Q407,1),"")</f>
        <v>N</v>
      </c>
      <c r="Q407" s="3">
        <v>91</v>
      </c>
      <c r="R407" s="3" t="str">
        <f>IFERROR(MID(VLOOKUP($B407,Seqs!$A:$B,2,0),S407,1),"")</f>
        <v>F</v>
      </c>
      <c r="S407" s="3">
        <v>94</v>
      </c>
      <c r="T407" s="3" t="str">
        <f>IFERROR(MID(VLOOKUP($B407,Seqs!$A:$B,2,0),U407,1),"")</f>
        <v>G</v>
      </c>
      <c r="U407" s="3">
        <v>95</v>
      </c>
      <c r="V407" s="3" t="str">
        <f>IFERROR(MID(VLOOKUP($B407,Seqs!$A:$B,2,0),W407,1),"")</f>
        <v>Y</v>
      </c>
      <c r="W407" s="3">
        <v>130</v>
      </c>
      <c r="X407" s="3" t="str">
        <f>IFERROR(MID(VLOOKUP($B407,Seqs!$A:$B,2,0),Y407,1),"")</f>
        <v>P</v>
      </c>
      <c r="Y407" s="3">
        <v>131</v>
      </c>
      <c r="Z407" s="3" t="str">
        <f>IFERROR(MID(VLOOKUP($B407,Seqs!$A:$B,2,0),AA407,1),"")</f>
        <v>R</v>
      </c>
      <c r="AA407" s="3">
        <v>138</v>
      </c>
      <c r="AB407" s="3" t="str">
        <f>IFERROR(MID(VLOOKUP($B407,Seqs!$A:$B,2,0),AC407,1),"")</f>
        <v>T</v>
      </c>
      <c r="AC407" s="3">
        <v>139</v>
      </c>
      <c r="AD407" s="3" t="str">
        <f>IFERROR(MID(VLOOKUP($B407,Seqs!$A:$B,2,0),AE407,1),"")</f>
        <v>N</v>
      </c>
      <c r="AE407" s="3">
        <v>166</v>
      </c>
      <c r="AF407" s="3" t="str">
        <f>IFERROR(MID(VLOOKUP($B407,Seqs!$A:$B,2,0),AG407,1),"")</f>
        <v>C</v>
      </c>
      <c r="AG407" s="3">
        <v>178</v>
      </c>
      <c r="AH407" s="3" t="str">
        <f>IFERROR(MID(VLOOKUP($B407,Seqs!$A:$B,2,0),AI407,1),"")</f>
        <v>E</v>
      </c>
      <c r="AI407" s="3">
        <v>180</v>
      </c>
      <c r="AJ407" s="3" t="str">
        <f>IFERROR(MID(VLOOKUP($B407,Seqs!$A:$B,2,0),AK407,1),"")</f>
        <v>W</v>
      </c>
      <c r="AK407" s="3">
        <v>187</v>
      </c>
      <c r="AL407" s="3" t="str">
        <f>IFERROR(MID(VLOOKUP($B407,Seqs!$A:$B,2,0),AM407,1),"")</f>
        <v>P</v>
      </c>
      <c r="AM407" s="3">
        <v>224</v>
      </c>
      <c r="AN407" s="3" t="str">
        <f>IFERROR(MID(VLOOKUP($B407,Seqs!$A:$B,2,0),AO407,1),"")</f>
        <v>R</v>
      </c>
      <c r="AO407" s="3">
        <v>229</v>
      </c>
      <c r="AP407" s="3" t="str">
        <f>IFERROR(MID(VLOOKUP($B407,Seqs!$A:$B,2,0),AQ407,1),"")</f>
        <v>N</v>
      </c>
      <c r="AQ407" s="3">
        <v>269</v>
      </c>
      <c r="AR407" s="3" t="str">
        <f>IFERROR(MID(VLOOKUP($B407,Seqs!$A:$B,2,0),AS407,1),"")</f>
        <v>G</v>
      </c>
      <c r="AS407" s="3">
        <v>273</v>
      </c>
      <c r="AT407" s="3" t="str">
        <f>IFERROR(MID(VLOOKUP($B407,Seqs!$A:$B,2,0),AU407,1),"")</f>
        <v>T</v>
      </c>
      <c r="AU407" s="3">
        <v>305</v>
      </c>
      <c r="AV407" s="3" t="str">
        <f>IFERROR(MID(VLOOKUP($B407,Seqs!$A:$B,2,0),AW407,1),"")</f>
        <v>S</v>
      </c>
      <c r="AW407" s="3">
        <v>306</v>
      </c>
      <c r="AX407" s="3" t="str">
        <f>IFERROR(MID(VLOOKUP($B407,Seqs!$A:$B,2,0),AY407,1),"")</f>
        <v>G</v>
      </c>
      <c r="AY407" s="3">
        <v>320</v>
      </c>
      <c r="AZ407" s="77" t="str">
        <f>VLOOKUP(B407,Classification!A:D,2,0)</f>
        <v>A</v>
      </c>
      <c r="BA407" s="94" t="str">
        <f>VLOOKUP(B407,Classification!A:D,4,0)</f>
        <v>Lysophospholipid(LPA)</v>
      </c>
      <c r="BB407" s="27" t="b">
        <f t="shared" si="3607"/>
        <v>1</v>
      </c>
      <c r="BC407" s="23">
        <f t="shared" si="3608"/>
        <v>270</v>
      </c>
      <c r="BD407" s="2" t="s">
        <v>23</v>
      </c>
      <c r="BE407" s="3" t="s">
        <v>23</v>
      </c>
      <c r="BF407" s="118" t="s">
        <v>23</v>
      </c>
      <c r="BG407" s="49" t="s">
        <v>1</v>
      </c>
      <c r="BH407" s="49" t="s">
        <v>1373</v>
      </c>
      <c r="BI407" s="1"/>
      <c r="BJ407" s="70" t="s">
        <v>1283</v>
      </c>
      <c r="BK407" s="57" t="s">
        <v>1283</v>
      </c>
      <c r="BL407" s="57" t="s">
        <v>1283</v>
      </c>
      <c r="BM407" s="57" t="s">
        <v>1283</v>
      </c>
      <c r="BN407" s="57" t="s">
        <v>1283</v>
      </c>
      <c r="BO407" s="57" t="s">
        <v>1283</v>
      </c>
      <c r="BP407" s="57" t="s">
        <v>1283</v>
      </c>
      <c r="BQ407" s="57" t="s">
        <v>1283</v>
      </c>
      <c r="BR407" s="57" t="s">
        <v>1283</v>
      </c>
      <c r="BS407" s="57" t="s">
        <v>1283</v>
      </c>
      <c r="BT407" s="57" t="s">
        <v>1283</v>
      </c>
      <c r="BU407" s="57" t="s">
        <v>1283</v>
      </c>
      <c r="BV407" s="70">
        <f t="shared" si="3609"/>
        <v>26</v>
      </c>
      <c r="BW407" s="71">
        <f t="shared" si="3610"/>
        <v>56</v>
      </c>
      <c r="BX407" s="72">
        <f t="shared" si="3611"/>
        <v>60</v>
      </c>
      <c r="BY407" s="71">
        <f t="shared" si="3612"/>
        <v>91</v>
      </c>
      <c r="BZ407" s="72">
        <f t="shared" si="3613"/>
        <v>95</v>
      </c>
      <c r="CA407" s="71">
        <f t="shared" si="3614"/>
        <v>131</v>
      </c>
      <c r="CB407" s="72">
        <f t="shared" si="3615"/>
        <v>139</v>
      </c>
      <c r="CC407" s="71">
        <f t="shared" si="3616"/>
        <v>178</v>
      </c>
      <c r="CD407" s="72">
        <f t="shared" si="3617"/>
        <v>187</v>
      </c>
      <c r="CE407" s="71">
        <f t="shared" si="3618"/>
        <v>229</v>
      </c>
      <c r="CF407" s="72">
        <f t="shared" si="3619"/>
        <v>273</v>
      </c>
      <c r="CG407" s="71">
        <f t="shared" si="3620"/>
        <v>306</v>
      </c>
      <c r="CH407" s="70">
        <f t="shared" si="3621"/>
        <v>55</v>
      </c>
      <c r="CI407" s="71">
        <f t="shared" si="3622"/>
        <v>59</v>
      </c>
      <c r="CJ407" s="72">
        <f t="shared" si="3623"/>
        <v>89</v>
      </c>
      <c r="CK407" s="72">
        <f t="shared" si="3624"/>
        <v>94</v>
      </c>
      <c r="CL407" s="72">
        <f t="shared" si="3625"/>
        <v>130</v>
      </c>
      <c r="CM407" s="72">
        <f t="shared" si="3626"/>
        <v>138</v>
      </c>
      <c r="CN407" s="72">
        <f t="shared" si="3627"/>
        <v>166</v>
      </c>
      <c r="CO407" s="72">
        <f t="shared" si="3628"/>
        <v>180</v>
      </c>
      <c r="CP407" s="72">
        <f t="shared" si="3629"/>
        <v>224</v>
      </c>
      <c r="CQ407" s="72">
        <f t="shared" si="3630"/>
        <v>269</v>
      </c>
      <c r="CR407" s="72">
        <f t="shared" si="3631"/>
        <v>305</v>
      </c>
      <c r="CS407" s="72">
        <f t="shared" si="3632"/>
        <v>320</v>
      </c>
      <c r="CT407" s="23">
        <f t="shared" si="3633"/>
        <v>1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29" x14ac:dyDescent="0.2">
      <c r="A408" s="3" t="str">
        <f t="shared" si="3606"/>
        <v>q08bg4_danre_5XSZ</v>
      </c>
      <c r="B408" s="3" t="s">
        <v>1436</v>
      </c>
      <c r="C408" s="3" t="s">
        <v>1438</v>
      </c>
      <c r="D408" s="3" t="str">
        <f>IFERROR(MID(VLOOKUP($B408,Seqs!$A:$B,2,0),E408,1),"")</f>
        <v>K</v>
      </c>
      <c r="E408" s="3">
        <v>26</v>
      </c>
      <c r="F408" s="3" t="str">
        <f>IFERROR(MID(VLOOKUP($B408,Seqs!$A:$B,2,0),G408,1),"")</f>
        <v>S</v>
      </c>
      <c r="G408" s="3">
        <v>55</v>
      </c>
      <c r="H408" s="3" t="str">
        <f>IFERROR(MID(VLOOKUP($B408,Seqs!$A:$B,2,0),I408,1),"")</f>
        <v/>
      </c>
      <c r="I408" s="23" t="s">
        <v>23</v>
      </c>
      <c r="J408" s="3" t="str">
        <f>IFERROR(MID(VLOOKUP($B408,Seqs!$A:$B,2,0),K408,1),"")</f>
        <v/>
      </c>
      <c r="K408" s="23" t="s">
        <v>23</v>
      </c>
      <c r="L408" s="3" t="str">
        <f>IFERROR(MID(VLOOKUP($B408,Seqs!$A:$B,2,0),M408,1),"")</f>
        <v>N</v>
      </c>
      <c r="M408" s="3">
        <v>60</v>
      </c>
      <c r="N408" s="3" t="str">
        <f>IFERROR(MID(VLOOKUP($B408,Seqs!$A:$B,2,0),O408,1),"")</f>
        <v>Q</v>
      </c>
      <c r="O408" s="3">
        <v>89</v>
      </c>
      <c r="P408" s="3" t="str">
        <f>IFERROR(MID(VLOOKUP($B408,Seqs!$A:$B,2,0),Q408,1),"")</f>
        <v>N</v>
      </c>
      <c r="Q408" s="3">
        <v>91</v>
      </c>
      <c r="R408" s="3" t="str">
        <f>IFERROR(MID(VLOOKUP($B408,Seqs!$A:$B,2,0),S408,1),"")</f>
        <v>F</v>
      </c>
      <c r="S408" s="3">
        <v>94</v>
      </c>
      <c r="T408" s="3" t="str">
        <f>IFERROR(MID(VLOOKUP($B408,Seqs!$A:$B,2,0),U408,1),"")</f>
        <v>G</v>
      </c>
      <c r="U408" s="3">
        <v>95</v>
      </c>
      <c r="V408" s="3" t="str">
        <f>IFERROR(MID(VLOOKUP($B408,Seqs!$A:$B,2,0),W408,1),"")</f>
        <v>Y</v>
      </c>
      <c r="W408" s="3">
        <v>130</v>
      </c>
      <c r="X408" s="3" t="str">
        <f>IFERROR(MID(VLOOKUP($B408,Seqs!$A:$B,2,0),Y408,1),"")</f>
        <v>P</v>
      </c>
      <c r="Y408" s="3">
        <v>131</v>
      </c>
      <c r="Z408" s="3" t="str">
        <f>IFERROR(MID(VLOOKUP($B408,Seqs!$A:$B,2,0),AA408,1),"")</f>
        <v>R</v>
      </c>
      <c r="AA408" s="3">
        <v>138</v>
      </c>
      <c r="AB408" s="3" t="str">
        <f>IFERROR(MID(VLOOKUP($B408,Seqs!$A:$B,2,0),AC408,1),"")</f>
        <v>T</v>
      </c>
      <c r="AC408" s="3">
        <v>139</v>
      </c>
      <c r="AD408" s="3" t="str">
        <f>IFERROR(MID(VLOOKUP($B408,Seqs!$A:$B,2,0),AE408,1),"")</f>
        <v>N</v>
      </c>
      <c r="AE408" s="3">
        <v>166</v>
      </c>
      <c r="AF408" s="3" t="str">
        <f>IFERROR(MID(VLOOKUP($B408,Seqs!$A:$B,2,0),AG408,1),"")</f>
        <v>C</v>
      </c>
      <c r="AG408" s="3">
        <v>178</v>
      </c>
      <c r="AH408" s="3" t="str">
        <f>IFERROR(MID(VLOOKUP($B408,Seqs!$A:$B,2,0),AI408,1),"")</f>
        <v>F</v>
      </c>
      <c r="AI408" s="3">
        <v>179</v>
      </c>
      <c r="AJ408" s="3" t="str">
        <f>IFERROR(MID(VLOOKUP($B408,Seqs!$A:$B,2,0),AK408,1),"")</f>
        <v>W</v>
      </c>
      <c r="AK408" s="3">
        <v>187</v>
      </c>
      <c r="AL408" s="3" t="str">
        <f>IFERROR(MID(VLOOKUP($B408,Seqs!$A:$B,2,0),AM408,1),"")</f>
        <v>R</v>
      </c>
      <c r="AM408" s="3">
        <v>223</v>
      </c>
      <c r="AN408" s="3" t="str">
        <f>IFERROR(MID(VLOOKUP($B408,Seqs!$A:$B,2,0),AO408,1),"")</f>
        <v>N</v>
      </c>
      <c r="AO408" s="3">
        <v>234</v>
      </c>
      <c r="AP408" s="3" t="str">
        <f>IFERROR(MID(VLOOKUP($B408,Seqs!$A:$B,2,0),AQ408,1),"")</f>
        <v>N</v>
      </c>
      <c r="AQ408" s="3">
        <v>269</v>
      </c>
      <c r="AR408" s="3" t="str">
        <f>IFERROR(MID(VLOOKUP($B408,Seqs!$A:$B,2,0),AS408,1),"")</f>
        <v>G</v>
      </c>
      <c r="AS408" s="3">
        <v>273</v>
      </c>
      <c r="AT408" s="3" t="str">
        <f>IFERROR(MID(VLOOKUP($B408,Seqs!$A:$B,2,0),AU408,1),"")</f>
        <v>T</v>
      </c>
      <c r="AU408" s="3">
        <v>308</v>
      </c>
      <c r="AV408" s="3" t="str">
        <f>IFERROR(MID(VLOOKUP($B408,Seqs!$A:$B,2,0),AW408,1),"")</f>
        <v/>
      </c>
      <c r="AW408" s="3" t="s">
        <v>23</v>
      </c>
      <c r="AX408" s="3" t="str">
        <f>IFERROR(MID(VLOOKUP($B408,Seqs!$A:$B,2,0),AY408,1),"")</f>
        <v/>
      </c>
      <c r="AY408" s="3" t="s">
        <v>23</v>
      </c>
      <c r="AZ408" s="77" t="str">
        <f>VLOOKUP(B408,Classification!A:D,2,0)</f>
        <v>A</v>
      </c>
      <c r="BA408" s="94" t="str">
        <f>VLOOKUP(B408,Classification!A:D,4,0)</f>
        <v>Lysophospholipid(LPA)</v>
      </c>
      <c r="BB408" s="27" t="b">
        <f t="shared" si="3607"/>
        <v>1</v>
      </c>
      <c r="BC408" s="23">
        <f t="shared" si="3608"/>
        <v>249</v>
      </c>
      <c r="BD408" s="2" t="s">
        <v>1371</v>
      </c>
      <c r="BE408" s="3" t="s">
        <v>1287</v>
      </c>
      <c r="BF408" s="118">
        <v>3.2</v>
      </c>
      <c r="BG408" s="49" t="s">
        <v>1</v>
      </c>
      <c r="BH408" s="49" t="s">
        <v>1373</v>
      </c>
      <c r="BI408" s="1"/>
      <c r="BJ408" s="70" t="s">
        <v>1283</v>
      </c>
      <c r="BK408" s="57" t="s">
        <v>1283</v>
      </c>
      <c r="BL408" s="57" t="s">
        <v>1283</v>
      </c>
      <c r="BM408" s="57" t="s">
        <v>1283</v>
      </c>
      <c r="BN408" s="57" t="s">
        <v>1283</v>
      </c>
      <c r="BO408" s="57" t="s">
        <v>1283</v>
      </c>
      <c r="BP408" s="57" t="s">
        <v>1283</v>
      </c>
      <c r="BQ408" s="57" t="s">
        <v>1283</v>
      </c>
      <c r="BR408" s="57" t="s">
        <v>1283</v>
      </c>
      <c r="BS408" s="57" t="s">
        <v>1283</v>
      </c>
      <c r="BT408" s="57" t="s">
        <v>1283</v>
      </c>
      <c r="BU408" s="57" t="s">
        <v>1283</v>
      </c>
      <c r="BV408" s="70">
        <f t="shared" si="3609"/>
        <v>26</v>
      </c>
      <c r="BW408" s="71" t="str">
        <f t="shared" si="3610"/>
        <v>-</v>
      </c>
      <c r="BX408" s="72">
        <f t="shared" si="3611"/>
        <v>60</v>
      </c>
      <c r="BY408" s="71">
        <f t="shared" si="3612"/>
        <v>91</v>
      </c>
      <c r="BZ408" s="72">
        <f t="shared" si="3613"/>
        <v>95</v>
      </c>
      <c r="CA408" s="71">
        <f t="shared" si="3614"/>
        <v>131</v>
      </c>
      <c r="CB408" s="72">
        <f t="shared" si="3615"/>
        <v>139</v>
      </c>
      <c r="CC408" s="71">
        <f t="shared" si="3616"/>
        <v>178</v>
      </c>
      <c r="CD408" s="72">
        <f t="shared" si="3617"/>
        <v>187</v>
      </c>
      <c r="CE408" s="71">
        <f t="shared" si="3618"/>
        <v>234</v>
      </c>
      <c r="CF408" s="72">
        <f t="shared" si="3619"/>
        <v>273</v>
      </c>
      <c r="CG408" s="71" t="str">
        <f t="shared" si="3620"/>
        <v>-</v>
      </c>
      <c r="CH408" s="70">
        <f t="shared" si="3621"/>
        <v>55</v>
      </c>
      <c r="CI408" s="71" t="str">
        <f t="shared" si="3622"/>
        <v>-</v>
      </c>
      <c r="CJ408" s="72">
        <f t="shared" si="3623"/>
        <v>89</v>
      </c>
      <c r="CK408" s="72">
        <f t="shared" si="3624"/>
        <v>94</v>
      </c>
      <c r="CL408" s="72">
        <f t="shared" si="3625"/>
        <v>130</v>
      </c>
      <c r="CM408" s="72">
        <f t="shared" si="3626"/>
        <v>138</v>
      </c>
      <c r="CN408" s="72">
        <f t="shared" si="3627"/>
        <v>166</v>
      </c>
      <c r="CO408" s="72">
        <f t="shared" si="3628"/>
        <v>179</v>
      </c>
      <c r="CP408" s="72">
        <f t="shared" si="3629"/>
        <v>223</v>
      </c>
      <c r="CQ408" s="72">
        <f t="shared" si="3630"/>
        <v>269</v>
      </c>
      <c r="CR408" s="72">
        <f t="shared" si="3631"/>
        <v>308</v>
      </c>
      <c r="CS408" s="72" t="str">
        <f t="shared" si="3632"/>
        <v>-</v>
      </c>
      <c r="CT408" s="23" t="e">
        <f t="shared" si="3633"/>
        <v>#VALUE!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29" x14ac:dyDescent="0.2">
      <c r="A409" s="3" t="str">
        <f t="shared" si="3606"/>
        <v>q9wtk1_cavpo__wt</v>
      </c>
      <c r="B409" s="3" t="s">
        <v>1447</v>
      </c>
      <c r="C409" s="3" t="s">
        <v>100</v>
      </c>
      <c r="D409" s="3" t="str">
        <f>IFERROR(MID(VLOOKUP($B409,Seqs!$A:$B,2,0),E409,1),"")</f>
        <v>T</v>
      </c>
      <c r="E409" s="3">
        <v>17</v>
      </c>
      <c r="F409" s="3" t="str">
        <f>IFERROR(MID(VLOOKUP($B409,Seqs!$A:$B,2,0),G409,1),"")</f>
        <v>R</v>
      </c>
      <c r="G409" s="3">
        <v>48</v>
      </c>
      <c r="H409" s="3" t="str">
        <f>IFERROR(MID(VLOOKUP($B409,Seqs!$A:$B,2,0),I409,1),"")</f>
        <v>M</v>
      </c>
      <c r="I409" s="23">
        <v>49</v>
      </c>
      <c r="J409" s="3" t="str">
        <f>IFERROR(MID(VLOOKUP($B409,Seqs!$A:$B,2,0),K409,1),"")</f>
        <v>R</v>
      </c>
      <c r="K409" s="23">
        <v>52</v>
      </c>
      <c r="L409" s="3" t="str">
        <f>IFERROR(MID(VLOOKUP($B409,Seqs!$A:$B,2,0),M409,1),"")</f>
        <v>S</v>
      </c>
      <c r="M409" s="3">
        <v>53</v>
      </c>
      <c r="N409" s="3" t="str">
        <f>IFERROR(MID(VLOOKUP($B409,Seqs!$A:$B,2,0),O409,1),"")</f>
        <v>H</v>
      </c>
      <c r="O409" s="3">
        <v>83</v>
      </c>
      <c r="P409" s="3" t="str">
        <f>IFERROR(MID(VLOOKUP($B409,Seqs!$A:$B,2,0),Q409,1),"")</f>
        <v>T</v>
      </c>
      <c r="Q409" s="3">
        <v>84</v>
      </c>
      <c r="R409" s="3" t="str">
        <f>IFERROR(MID(VLOOKUP($B409,Seqs!$A:$B,2,0),S409,1),"")</f>
        <v>F</v>
      </c>
      <c r="S409" s="3">
        <v>87</v>
      </c>
      <c r="T409" s="3" t="str">
        <f>IFERROR(MID(VLOOKUP($B409,Seqs!$A:$B,2,0),U409,1),"")</f>
        <v>K</v>
      </c>
      <c r="U409" s="3">
        <v>88</v>
      </c>
      <c r="V409" s="3" t="str">
        <f>IFERROR(MID(VLOOKUP($B409,Seqs!$A:$B,2,0),W409,1),"")</f>
        <v>S</v>
      </c>
      <c r="W409" s="3">
        <v>123</v>
      </c>
      <c r="X409" s="3" t="str">
        <f>IFERROR(MID(VLOOKUP($B409,Seqs!$A:$B,2,0),Y409,1),"")</f>
        <v>P</v>
      </c>
      <c r="Y409" s="3">
        <v>124</v>
      </c>
      <c r="Z409" s="3" t="str">
        <f>IFERROR(MID(VLOOKUP($B409,Seqs!$A:$B,2,0),AA409,1),"")</f>
        <v>R</v>
      </c>
      <c r="AA409" s="3">
        <v>131</v>
      </c>
      <c r="AB409" s="3" t="str">
        <f>IFERROR(MID(VLOOKUP($B409,Seqs!$A:$B,2,0),AC409,1),"")</f>
        <v>T</v>
      </c>
      <c r="AC409" s="3">
        <v>132</v>
      </c>
      <c r="AD409" s="3" t="str">
        <f>IFERROR(MID(VLOOKUP($B409,Seqs!$A:$B,2,0),AE409,1),"")</f>
        <v>R</v>
      </c>
      <c r="AE409" s="3">
        <v>158</v>
      </c>
      <c r="AF409" s="3" t="str">
        <f>IFERROR(MID(VLOOKUP($B409,Seqs!$A:$B,2,0),AG409,1),"")</f>
        <v>C</v>
      </c>
      <c r="AG409" s="3">
        <v>170</v>
      </c>
      <c r="AH409" s="3" t="str">
        <f>IFERROR(MID(VLOOKUP($B409,Seqs!$A:$B,2,0),AI409,1),"")</f>
        <v>A</v>
      </c>
      <c r="AI409" s="3">
        <v>172</v>
      </c>
      <c r="AJ409" s="3" t="str">
        <f>IFERROR(MID(VLOOKUP($B409,Seqs!$A:$B,2,0),AK409,1),"")</f>
        <v>S</v>
      </c>
      <c r="AK409" s="3">
        <v>176</v>
      </c>
      <c r="AL409" s="3" t="str">
        <f>IFERROR(MID(VLOOKUP($B409,Seqs!$A:$B,2,0),AM409,1),"")</f>
        <v>R</v>
      </c>
      <c r="AM409" s="3">
        <v>213</v>
      </c>
      <c r="AN409" s="3" t="str">
        <f>IFERROR(MID(VLOOKUP($B409,Seqs!$A:$B,2,0),AO409,1),"")</f>
        <v>R</v>
      </c>
      <c r="AO409" s="3">
        <v>218</v>
      </c>
      <c r="AP409" s="3" t="str">
        <f>IFERROR(MID(VLOOKUP($B409,Seqs!$A:$B,2,0),AQ409,1),"")</f>
        <v>A</v>
      </c>
      <c r="AQ409" s="3">
        <v>252</v>
      </c>
      <c r="AR409" s="3" t="str">
        <f>IFERROR(MID(VLOOKUP($B409,Seqs!$A:$B,2,0),AS409,1),"")</f>
        <v>L</v>
      </c>
      <c r="AS409" s="3">
        <v>255</v>
      </c>
      <c r="AT409" s="3" t="str">
        <f>IFERROR(MID(VLOOKUP($B409,Seqs!$A:$B,2,0),AU409,1),"")</f>
        <v>A</v>
      </c>
      <c r="AU409" s="3">
        <v>287</v>
      </c>
      <c r="AV409" s="3" t="str">
        <f>IFERROR(MID(VLOOKUP($B409,Seqs!$A:$B,2,0),AW409,1),"")</f>
        <v>G</v>
      </c>
      <c r="AW409" s="3">
        <v>288</v>
      </c>
      <c r="AX409" s="3" t="str">
        <f>IFERROR(MID(VLOOKUP($B409,Seqs!$A:$B,2,0),AY409,1),"")</f>
        <v>K</v>
      </c>
      <c r="AY409" s="3">
        <v>302</v>
      </c>
      <c r="AZ409" s="77" t="str">
        <f>VLOOKUP(B409,Classification!A:D,2,0)</f>
        <v>A</v>
      </c>
      <c r="BA409" s="94" t="str">
        <f>VLOOKUP(B409,Classification!A:D,4,0)</f>
        <v>Leukotriene</v>
      </c>
      <c r="BB409" s="27" t="b">
        <f t="shared" si="3607"/>
        <v>1</v>
      </c>
      <c r="BC409" s="23">
        <f t="shared" si="3608"/>
        <v>266</v>
      </c>
      <c r="BD409" s="2" t="s">
        <v>23</v>
      </c>
      <c r="BE409" s="3" t="s">
        <v>23</v>
      </c>
      <c r="BF409" s="118" t="s">
        <v>23</v>
      </c>
      <c r="BG409" s="49" t="s">
        <v>1</v>
      </c>
      <c r="BH409" s="49" t="s">
        <v>1</v>
      </c>
      <c r="BI409" s="1"/>
      <c r="BJ409" s="70" t="s">
        <v>1283</v>
      </c>
      <c r="BK409" s="57" t="s">
        <v>1283</v>
      </c>
      <c r="BL409" s="57" t="s">
        <v>1283</v>
      </c>
      <c r="BM409" s="57" t="s">
        <v>1283</v>
      </c>
      <c r="BN409" s="57" t="s">
        <v>1283</v>
      </c>
      <c r="BO409" s="57" t="s">
        <v>1283</v>
      </c>
      <c r="BP409" s="57" t="s">
        <v>1283</v>
      </c>
      <c r="BQ409" s="57" t="s">
        <v>1283</v>
      </c>
      <c r="BR409" s="57" t="s">
        <v>1283</v>
      </c>
      <c r="BS409" s="57" t="s">
        <v>1283</v>
      </c>
      <c r="BT409" s="57" t="s">
        <v>1283</v>
      </c>
      <c r="BU409" s="57" t="s">
        <v>1283</v>
      </c>
      <c r="BV409" s="70">
        <f t="shared" si="3609"/>
        <v>17</v>
      </c>
      <c r="BW409" s="71">
        <f t="shared" si="3610"/>
        <v>49</v>
      </c>
      <c r="BX409" s="72">
        <f t="shared" si="3611"/>
        <v>53</v>
      </c>
      <c r="BY409" s="71">
        <f t="shared" si="3612"/>
        <v>84</v>
      </c>
      <c r="BZ409" s="72">
        <f t="shared" si="3613"/>
        <v>88</v>
      </c>
      <c r="CA409" s="71">
        <f t="shared" si="3614"/>
        <v>124</v>
      </c>
      <c r="CB409" s="72">
        <f t="shared" si="3615"/>
        <v>132</v>
      </c>
      <c r="CC409" s="71">
        <f t="shared" si="3616"/>
        <v>170</v>
      </c>
      <c r="CD409" s="72">
        <f t="shared" si="3617"/>
        <v>176</v>
      </c>
      <c r="CE409" s="71">
        <f t="shared" si="3618"/>
        <v>218</v>
      </c>
      <c r="CF409" s="72">
        <f t="shared" si="3619"/>
        <v>255</v>
      </c>
      <c r="CG409" s="71">
        <f t="shared" si="3620"/>
        <v>288</v>
      </c>
      <c r="CH409" s="70">
        <f t="shared" si="3621"/>
        <v>48</v>
      </c>
      <c r="CI409" s="71">
        <f t="shared" si="3622"/>
        <v>52</v>
      </c>
      <c r="CJ409" s="72">
        <f t="shared" si="3623"/>
        <v>83</v>
      </c>
      <c r="CK409" s="72">
        <f t="shared" si="3624"/>
        <v>87</v>
      </c>
      <c r="CL409" s="72">
        <f t="shared" si="3625"/>
        <v>123</v>
      </c>
      <c r="CM409" s="72">
        <f t="shared" si="3626"/>
        <v>131</v>
      </c>
      <c r="CN409" s="72">
        <f t="shared" si="3627"/>
        <v>158</v>
      </c>
      <c r="CO409" s="72">
        <f t="shared" si="3628"/>
        <v>172</v>
      </c>
      <c r="CP409" s="72">
        <f t="shared" si="3629"/>
        <v>213</v>
      </c>
      <c r="CQ409" s="72">
        <f t="shared" si="3630"/>
        <v>252</v>
      </c>
      <c r="CR409" s="72">
        <f t="shared" si="3631"/>
        <v>287</v>
      </c>
      <c r="CS409" s="72">
        <f t="shared" si="3632"/>
        <v>302</v>
      </c>
      <c r="CT409" s="23">
        <f t="shared" si="3633"/>
        <v>1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29" x14ac:dyDescent="0.2">
      <c r="A410" s="3" t="str">
        <f t="shared" si="3606"/>
        <v>q9wtk1_cavpo_5X33</v>
      </c>
      <c r="B410" s="3" t="s">
        <v>1447</v>
      </c>
      <c r="C410" s="3" t="s">
        <v>1448</v>
      </c>
      <c r="D410" s="3" t="str">
        <f>IFERROR(MID(VLOOKUP($B410,Seqs!$A:$B,2,0),E410,1),"")</f>
        <v>T</v>
      </c>
      <c r="E410" s="3">
        <v>17</v>
      </c>
      <c r="F410" s="3" t="str">
        <f>IFERROR(MID(VLOOKUP($B410,Seqs!$A:$B,2,0),G410,1),"")</f>
        <v>R</v>
      </c>
      <c r="G410" s="3">
        <v>48</v>
      </c>
      <c r="H410" s="3" t="str">
        <f>IFERROR(MID(VLOOKUP($B410,Seqs!$A:$B,2,0),I410,1),"")</f>
        <v/>
      </c>
      <c r="I410" s="23" t="s">
        <v>23</v>
      </c>
      <c r="J410" s="3" t="str">
        <f>IFERROR(MID(VLOOKUP($B410,Seqs!$A:$B,2,0),K410,1),"")</f>
        <v/>
      </c>
      <c r="K410" s="23" t="s">
        <v>23</v>
      </c>
      <c r="L410" s="3" t="str">
        <f>IFERROR(MID(VLOOKUP($B410,Seqs!$A:$B,2,0),M410,1),"")</f>
        <v>S</v>
      </c>
      <c r="M410" s="3">
        <v>53</v>
      </c>
      <c r="N410" s="3" t="str">
        <f>IFERROR(MID(VLOOKUP($B410,Seqs!$A:$B,2,0),O410,1),"")</f>
        <v>H</v>
      </c>
      <c r="O410" s="3">
        <v>83</v>
      </c>
      <c r="P410" s="3" t="str">
        <f>IFERROR(MID(VLOOKUP($B410,Seqs!$A:$B,2,0),Q410,1),"")</f>
        <v>T</v>
      </c>
      <c r="Q410" s="3">
        <v>84</v>
      </c>
      <c r="R410" s="3" t="str">
        <f>IFERROR(MID(VLOOKUP($B410,Seqs!$A:$B,2,0),S410,1),"")</f>
        <v>F</v>
      </c>
      <c r="S410" s="3">
        <v>87</v>
      </c>
      <c r="T410" s="3" t="str">
        <f>IFERROR(MID(VLOOKUP($B410,Seqs!$A:$B,2,0),U410,1),"")</f>
        <v>K</v>
      </c>
      <c r="U410" s="3">
        <v>88</v>
      </c>
      <c r="V410" s="3" t="str">
        <f>IFERROR(MID(VLOOKUP($B410,Seqs!$A:$B,2,0),W410,1),"")</f>
        <v>S</v>
      </c>
      <c r="W410" s="3">
        <v>123</v>
      </c>
      <c r="X410" s="3" t="str">
        <f>IFERROR(MID(VLOOKUP($B410,Seqs!$A:$B,2,0),Y410,1),"")</f>
        <v>P</v>
      </c>
      <c r="Y410" s="3">
        <v>124</v>
      </c>
      <c r="Z410" s="3" t="str">
        <f>IFERROR(MID(VLOOKUP($B410,Seqs!$A:$B,2,0),AA410,1),"")</f>
        <v>R</v>
      </c>
      <c r="AA410" s="3">
        <v>131</v>
      </c>
      <c r="AB410" s="3" t="str">
        <f>IFERROR(MID(VLOOKUP($B410,Seqs!$A:$B,2,0),AC410,1),"")</f>
        <v>T</v>
      </c>
      <c r="AC410" s="3">
        <v>132</v>
      </c>
      <c r="AD410" s="3" t="str">
        <f>IFERROR(MID(VLOOKUP($B410,Seqs!$A:$B,2,0),AE410,1),"")</f>
        <v>R</v>
      </c>
      <c r="AE410" s="3">
        <v>158</v>
      </c>
      <c r="AF410" s="3" t="str">
        <f>IFERROR(MID(VLOOKUP($B410,Seqs!$A:$B,2,0),AG410,1),"")</f>
        <v>C</v>
      </c>
      <c r="AG410" s="3">
        <v>170</v>
      </c>
      <c r="AH410" s="3" t="str">
        <f>IFERROR(MID(VLOOKUP($B410,Seqs!$A:$B,2,0),AI410,1),"")</f>
        <v>A</v>
      </c>
      <c r="AI410" s="3">
        <v>172</v>
      </c>
      <c r="AJ410" s="3" t="str">
        <f>IFERROR(MID(VLOOKUP($B410,Seqs!$A:$B,2,0),AK410,1),"")</f>
        <v>S</v>
      </c>
      <c r="AK410" s="3">
        <v>176</v>
      </c>
      <c r="AL410" s="3" t="str">
        <f>IFERROR(MID(VLOOKUP($B410,Seqs!$A:$B,2,0),AM410,1),"")</f>
        <v>R</v>
      </c>
      <c r="AM410" s="3">
        <v>213</v>
      </c>
      <c r="AN410" s="3" t="str">
        <f>IFERROR(MID(VLOOKUP($B410,Seqs!$A:$B,2,0),AO410,1),"")</f>
        <v>I</v>
      </c>
      <c r="AO410" s="3">
        <v>227</v>
      </c>
      <c r="AP410" s="3" t="str">
        <f>IFERROR(MID(VLOOKUP($B410,Seqs!$A:$B,2,0),AQ410,1),"")</f>
        <v>R</v>
      </c>
      <c r="AQ410" s="3">
        <v>249</v>
      </c>
      <c r="AR410" s="3" t="str">
        <f>IFERROR(MID(VLOOKUP($B410,Seqs!$A:$B,2,0),AS410,1),"")</f>
        <v>Q</v>
      </c>
      <c r="AS410" s="3">
        <v>261</v>
      </c>
      <c r="AT410" s="3" t="str">
        <f>IFERROR(MID(VLOOKUP($B410,Seqs!$A:$B,2,0),AU410,1),"")</f>
        <v>S</v>
      </c>
      <c r="AU410" s="3">
        <v>278</v>
      </c>
      <c r="AV410" s="3" t="str">
        <f>IFERROR(MID(VLOOKUP($B410,Seqs!$A:$B,2,0),AW410,1),"")</f>
        <v/>
      </c>
      <c r="AW410" s="3" t="s">
        <v>23</v>
      </c>
      <c r="AX410" s="3" t="str">
        <f>IFERROR(MID(VLOOKUP($B410,Seqs!$A:$B,2,0),AY410,1),"")</f>
        <v/>
      </c>
      <c r="AY410" s="3" t="s">
        <v>23</v>
      </c>
      <c r="AZ410" s="77" t="str">
        <f>VLOOKUP(B410,Classification!A:D,2,0)</f>
        <v>A</v>
      </c>
      <c r="BA410" s="94" t="str">
        <f>VLOOKUP(B410,Classification!A:D,4,0)</f>
        <v>Leukotriene</v>
      </c>
      <c r="BB410" s="27" t="b">
        <f t="shared" si="3607"/>
        <v>1</v>
      </c>
      <c r="BC410" s="23">
        <f t="shared" si="3608"/>
        <v>222</v>
      </c>
      <c r="BD410" s="2" t="s">
        <v>1372</v>
      </c>
      <c r="BE410" s="3" t="s">
        <v>1370</v>
      </c>
      <c r="BF410" s="118">
        <v>3.7</v>
      </c>
      <c r="BG410" s="49" t="s">
        <v>1</v>
      </c>
      <c r="BH410" s="49" t="s">
        <v>1373</v>
      </c>
      <c r="BI410" s="1"/>
      <c r="BJ410" s="70" t="s">
        <v>1283</v>
      </c>
      <c r="BK410" s="57" t="s">
        <v>1283</v>
      </c>
      <c r="BL410" s="57" t="s">
        <v>1283</v>
      </c>
      <c r="BM410" s="57" t="s">
        <v>1283</v>
      </c>
      <c r="BN410" s="57" t="s">
        <v>1283</v>
      </c>
      <c r="BO410" s="57" t="s">
        <v>1283</v>
      </c>
      <c r="BP410" s="57" t="s">
        <v>1283</v>
      </c>
      <c r="BQ410" s="57" t="s">
        <v>1283</v>
      </c>
      <c r="BR410" s="57" t="s">
        <v>1283</v>
      </c>
      <c r="BS410" s="57" t="s">
        <v>1283</v>
      </c>
      <c r="BT410" s="57" t="s">
        <v>1283</v>
      </c>
      <c r="BU410" s="57" t="s">
        <v>1283</v>
      </c>
      <c r="BV410" s="70">
        <f t="shared" si="3609"/>
        <v>17</v>
      </c>
      <c r="BW410" s="71" t="str">
        <f t="shared" si="3610"/>
        <v>-</v>
      </c>
      <c r="BX410" s="72">
        <f t="shared" si="3611"/>
        <v>53</v>
      </c>
      <c r="BY410" s="71">
        <f t="shared" si="3612"/>
        <v>84</v>
      </c>
      <c r="BZ410" s="72">
        <f t="shared" si="3613"/>
        <v>88</v>
      </c>
      <c r="CA410" s="71">
        <f t="shared" si="3614"/>
        <v>124</v>
      </c>
      <c r="CB410" s="72">
        <f t="shared" si="3615"/>
        <v>132</v>
      </c>
      <c r="CC410" s="71">
        <f t="shared" si="3616"/>
        <v>170</v>
      </c>
      <c r="CD410" s="72">
        <f t="shared" si="3617"/>
        <v>176</v>
      </c>
      <c r="CE410" s="71">
        <f t="shared" si="3618"/>
        <v>227</v>
      </c>
      <c r="CF410" s="72">
        <f t="shared" si="3619"/>
        <v>261</v>
      </c>
      <c r="CG410" s="71" t="str">
        <f t="shared" si="3620"/>
        <v>-</v>
      </c>
      <c r="CH410" s="70">
        <f t="shared" si="3621"/>
        <v>48</v>
      </c>
      <c r="CI410" s="71" t="str">
        <f t="shared" si="3622"/>
        <v>-</v>
      </c>
      <c r="CJ410" s="72">
        <f t="shared" si="3623"/>
        <v>83</v>
      </c>
      <c r="CK410" s="72">
        <f t="shared" si="3624"/>
        <v>87</v>
      </c>
      <c r="CL410" s="72">
        <f t="shared" si="3625"/>
        <v>123</v>
      </c>
      <c r="CM410" s="72">
        <f t="shared" si="3626"/>
        <v>131</v>
      </c>
      <c r="CN410" s="72">
        <f t="shared" si="3627"/>
        <v>158</v>
      </c>
      <c r="CO410" s="72">
        <f t="shared" si="3628"/>
        <v>172</v>
      </c>
      <c r="CP410" s="72">
        <f t="shared" si="3629"/>
        <v>213</v>
      </c>
      <c r="CQ410" s="72">
        <f t="shared" si="3630"/>
        <v>249</v>
      </c>
      <c r="CR410" s="72">
        <f t="shared" si="3631"/>
        <v>278</v>
      </c>
      <c r="CS410" s="72" t="str">
        <f t="shared" si="3632"/>
        <v>-</v>
      </c>
      <c r="CT410" s="23" t="e">
        <f t="shared" si="3633"/>
        <v>#VALUE!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29" x14ac:dyDescent="0.2">
      <c r="A411" s="3" t="str">
        <f t="shared" si="2960"/>
        <v>s1pr1_human__wt</v>
      </c>
      <c r="B411" s="3" t="s">
        <v>104</v>
      </c>
      <c r="C411" s="3" t="s">
        <v>100</v>
      </c>
      <c r="D411" s="3" t="str">
        <f>IFERROR(MID(VLOOKUP($B411,Seqs!$A:$B,2,0),E411,1),"")</f>
        <v>E</v>
      </c>
      <c r="E411" s="3">
        <v>42</v>
      </c>
      <c r="F411" s="3" t="str">
        <f>IFERROR(MID(VLOOKUP($B411,Seqs!$A:$B,2,0),G411,1),"")</f>
        <v>T</v>
      </c>
      <c r="G411" s="3">
        <v>73</v>
      </c>
      <c r="H411" s="3" t="str">
        <f>IFERROR(MID(VLOOKUP($B411,Seqs!$A:$B,2,0),I411,1),"")</f>
        <v>K</v>
      </c>
      <c r="I411" s="23">
        <v>74</v>
      </c>
      <c r="J411" s="3" t="str">
        <f>IFERROR(MID(VLOOKUP($B411,Seqs!$A:$B,2,0),K411,1),"")</f>
        <v>H</v>
      </c>
      <c r="K411" s="23">
        <v>77</v>
      </c>
      <c r="L411" s="3" t="str">
        <f>IFERROR(MID(VLOOKUP($B411,Seqs!$A:$B,2,0),M411,1),"")</f>
        <v>R</v>
      </c>
      <c r="M411" s="3">
        <v>78</v>
      </c>
      <c r="N411" s="3" t="str">
        <f>IFERROR(MID(VLOOKUP($B411,Seqs!$A:$B,2,0),O411,1),"")</f>
        <v>L</v>
      </c>
      <c r="O411" s="3">
        <v>104</v>
      </c>
      <c r="P411" s="3" t="str">
        <f>IFERROR(MID(VLOOKUP($B411,Seqs!$A:$B,2,0),Q411,1),"")</f>
        <v>G</v>
      </c>
      <c r="Q411" s="3">
        <v>106</v>
      </c>
      <c r="R411" s="3" t="str">
        <f>IFERROR(MID(VLOOKUP($B411,Seqs!$A:$B,2,0),S411,1),"")</f>
        <v>L</v>
      </c>
      <c r="S411" s="3">
        <v>112</v>
      </c>
      <c r="T411" s="3" t="str">
        <f>IFERROR(MID(VLOOKUP($B411,Seqs!$A:$B,2,0),U411,1),"")</f>
        <v>T</v>
      </c>
      <c r="U411" s="3">
        <v>113</v>
      </c>
      <c r="V411" s="3" t="str">
        <f>IFERROR(MID(VLOOKUP($B411,Seqs!$A:$B,2,0),W411,1),"")</f>
        <v>K</v>
      </c>
      <c r="W411" s="105">
        <v>148</v>
      </c>
      <c r="X411" s="3" t="str">
        <f>IFERROR(MID(VLOOKUP($B411,Seqs!$A:$B,2,0),Y411,1),"")</f>
        <v>M</v>
      </c>
      <c r="Y411" s="105">
        <v>149</v>
      </c>
      <c r="Z411" s="3" t="str">
        <f>IFERROR(MID(VLOOKUP($B411,Seqs!$A:$B,2,0),AA411,1),"")</f>
        <v>S</v>
      </c>
      <c r="AA411" s="105">
        <v>155</v>
      </c>
      <c r="AB411" s="3" t="str">
        <f>IFERROR(MID(VLOOKUP($B411,Seqs!$A:$B,2,0),AC411,1),"")</f>
        <v>N</v>
      </c>
      <c r="AC411" s="105">
        <v>156</v>
      </c>
      <c r="AD411" s="3" t="str">
        <f>IFERROR(MID(VLOOKUP($B411,Seqs!$A:$B,2,0),AE411,1),"")</f>
        <v>G</v>
      </c>
      <c r="AE411" s="3">
        <v>181</v>
      </c>
      <c r="AF411" s="3" t="str">
        <f>IFERROR(MID(VLOOKUP($B411,Seqs!$A:$B,2,0),AG411,1),"")</f>
        <v/>
      </c>
      <c r="AG411" s="3" t="s">
        <v>23</v>
      </c>
      <c r="AH411" s="3" t="str">
        <f>IFERROR(MID(VLOOKUP($B411,Seqs!$A:$B,2,0),AI411,1),"")</f>
        <v/>
      </c>
      <c r="AI411" s="3" t="s">
        <v>23</v>
      </c>
      <c r="AJ411" s="3" t="str">
        <f>IFERROR(MID(VLOOKUP($B411,Seqs!$A:$B,2,0),AK411,1),"")</f>
        <v>H</v>
      </c>
      <c r="AK411" s="3">
        <v>199</v>
      </c>
      <c r="AL411" s="3" t="str">
        <f>IFERROR(MID(VLOOKUP($B411,Seqs!$A:$B,2,0),AM411,1),"")</f>
        <v>T</v>
      </c>
      <c r="AM411" s="3">
        <v>236</v>
      </c>
      <c r="AN411" s="3" t="str">
        <f>IFERROR(MID(VLOOKUP($B411,Seqs!$A:$B,2,0),AO411,1),"")</f>
        <v>S</v>
      </c>
      <c r="AO411" s="3">
        <v>245</v>
      </c>
      <c r="AP411" s="3" t="str">
        <f>IFERROR(MID(VLOOKUP($B411,Seqs!$A:$B,2,0),AQ411,1),"")</f>
        <v>C</v>
      </c>
      <c r="AQ411" s="3">
        <v>282</v>
      </c>
      <c r="AR411" s="3" t="str">
        <f>IFERROR(MID(VLOOKUP($B411,Seqs!$A:$B,2,0),AS411,1),"")</f>
        <v>D</v>
      </c>
      <c r="AS411" s="3">
        <v>288</v>
      </c>
      <c r="AT411" s="3" t="str">
        <f>IFERROR(MID(VLOOKUP($B411,Seqs!$A:$B,2,0),AU411,1),"")</f>
        <v>T</v>
      </c>
      <c r="AU411" s="3">
        <v>314</v>
      </c>
      <c r="AV411" s="3" t="str">
        <f>IFERROR(MID(VLOOKUP($B411,Seqs!$A:$B,2,0),AW411,1),"")</f>
        <v>N</v>
      </c>
      <c r="AW411" s="3">
        <v>315</v>
      </c>
      <c r="AX411" s="3" t="str">
        <f>IFERROR(MID(VLOOKUP($B411,Seqs!$A:$B,2,0),AY411,1),"")</f>
        <v>S</v>
      </c>
      <c r="AY411" s="3">
        <v>327</v>
      </c>
      <c r="AZ411" s="77" t="str">
        <f>VLOOKUP(B411,Classification!A:D,2,0)</f>
        <v>A</v>
      </c>
      <c r="BA411" s="94" t="str">
        <f>VLOOKUP(B411,Classification!A:D,4,0)</f>
        <v>Lysophospholipid(S1P)</v>
      </c>
      <c r="BB411" s="27" t="b">
        <f t="shared" si="2961"/>
        <v>1</v>
      </c>
      <c r="BC411" s="23">
        <f t="shared" si="2934"/>
        <v>256</v>
      </c>
      <c r="BD411" s="56" t="s">
        <v>23</v>
      </c>
      <c r="BE411" s="3" t="s">
        <v>23</v>
      </c>
      <c r="BF411" s="118" t="s">
        <v>23</v>
      </c>
      <c r="BG411" s="49" t="s">
        <v>1368</v>
      </c>
      <c r="BH411" s="49" t="s">
        <v>1373</v>
      </c>
      <c r="BI411" s="1"/>
      <c r="BJ411" s="70" t="s">
        <v>1283</v>
      </c>
      <c r="BK411" s="57" t="s">
        <v>1283</v>
      </c>
      <c r="BL411" s="57" t="s">
        <v>1283</v>
      </c>
      <c r="BM411" s="57" t="s">
        <v>1283</v>
      </c>
      <c r="BN411" s="57" t="s">
        <v>1283</v>
      </c>
      <c r="BO411" s="57" t="s">
        <v>1283</v>
      </c>
      <c r="BP411" s="57" t="s">
        <v>1283</v>
      </c>
      <c r="BQ411" s="57" t="s">
        <v>1283</v>
      </c>
      <c r="BR411" s="57" t="s">
        <v>1283</v>
      </c>
      <c r="BS411" s="57" t="s">
        <v>1283</v>
      </c>
      <c r="BT411" s="57" t="s">
        <v>1283</v>
      </c>
      <c r="BU411" s="57" t="s">
        <v>1283</v>
      </c>
      <c r="BV411" s="70">
        <f t="shared" si="2935"/>
        <v>42</v>
      </c>
      <c r="BW411" s="71">
        <f t="shared" si="2936"/>
        <v>74</v>
      </c>
      <c r="BX411" s="72">
        <f t="shared" si="2937"/>
        <v>78</v>
      </c>
      <c r="BY411" s="71">
        <f t="shared" si="2938"/>
        <v>106</v>
      </c>
      <c r="BZ411" s="72">
        <f t="shared" si="2939"/>
        <v>113</v>
      </c>
      <c r="CA411" s="71">
        <f t="shared" si="2940"/>
        <v>149</v>
      </c>
      <c r="CB411" s="72">
        <f t="shared" si="2941"/>
        <v>156</v>
      </c>
      <c r="CC411" s="71" t="str">
        <f t="shared" si="2942"/>
        <v>-</v>
      </c>
      <c r="CD411" s="72">
        <f t="shared" si="2943"/>
        <v>199</v>
      </c>
      <c r="CE411" s="71">
        <f t="shared" si="2944"/>
        <v>245</v>
      </c>
      <c r="CF411" s="72">
        <f t="shared" si="2945"/>
        <v>288</v>
      </c>
      <c r="CG411" s="71">
        <f t="shared" si="2946"/>
        <v>315</v>
      </c>
      <c r="CH411" s="70">
        <f t="shared" si="2947"/>
        <v>73</v>
      </c>
      <c r="CI411" s="71">
        <f t="shared" si="2948"/>
        <v>77</v>
      </c>
      <c r="CJ411" s="72">
        <f t="shared" si="2949"/>
        <v>104</v>
      </c>
      <c r="CK411" s="72">
        <f t="shared" si="2950"/>
        <v>112</v>
      </c>
      <c r="CL411" s="72">
        <f t="shared" si="2951"/>
        <v>148</v>
      </c>
      <c r="CM411" s="72">
        <f t="shared" si="2952"/>
        <v>155</v>
      </c>
      <c r="CN411" s="72">
        <f t="shared" si="2953"/>
        <v>181</v>
      </c>
      <c r="CO411" s="72" t="str">
        <f t="shared" si="2954"/>
        <v>-</v>
      </c>
      <c r="CP411" s="72">
        <f t="shared" si="2955"/>
        <v>236</v>
      </c>
      <c r="CQ411" s="72">
        <f t="shared" si="2956"/>
        <v>282</v>
      </c>
      <c r="CR411" s="72">
        <f t="shared" si="2957"/>
        <v>314</v>
      </c>
      <c r="CS411" s="72">
        <f t="shared" si="2958"/>
        <v>327</v>
      </c>
      <c r="CT411" s="23">
        <f t="shared" si="2959"/>
        <v>1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29" x14ac:dyDescent="0.2">
      <c r="A412" s="3" t="str">
        <f t="shared" si="2960"/>
        <v>s1pr1_human_3V2Y</v>
      </c>
      <c r="B412" s="3" t="s">
        <v>104</v>
      </c>
      <c r="C412" s="3" t="s">
        <v>94</v>
      </c>
      <c r="D412" s="3" t="str">
        <f>IFERROR(MID(VLOOKUP($B412,Seqs!$A:$B,2,0),E412,1),"")</f>
        <v>E</v>
      </c>
      <c r="E412" s="3">
        <v>42</v>
      </c>
      <c r="F412" s="3" t="str">
        <f>IFERROR(MID(VLOOKUP($B412,Seqs!$A:$B,2,0),G412,1),"")</f>
        <v>T</v>
      </c>
      <c r="G412" s="3">
        <v>73</v>
      </c>
      <c r="H412" s="3" t="str">
        <f>IFERROR(MID(VLOOKUP($B412,Seqs!$A:$B,2,0),I412,1),"")</f>
        <v>K</v>
      </c>
      <c r="I412" s="23">
        <v>74</v>
      </c>
      <c r="J412" s="3" t="str">
        <f>IFERROR(MID(VLOOKUP($B412,Seqs!$A:$B,2,0),K412,1),"")</f>
        <v>H</v>
      </c>
      <c r="K412" s="23">
        <v>77</v>
      </c>
      <c r="L412" s="3" t="str">
        <f>IFERROR(MID(VLOOKUP($B412,Seqs!$A:$B,2,0),M412,1),"")</f>
        <v>R</v>
      </c>
      <c r="M412" s="3">
        <v>78</v>
      </c>
      <c r="N412" s="3" t="str">
        <f>IFERROR(MID(VLOOKUP($B412,Seqs!$A:$B,2,0),O412,1),"")</f>
        <v>L</v>
      </c>
      <c r="O412" s="3">
        <v>104</v>
      </c>
      <c r="P412" s="3" t="str">
        <f>IFERROR(MID(VLOOKUP($B412,Seqs!$A:$B,2,0),Q412,1),"")</f>
        <v>G</v>
      </c>
      <c r="Q412" s="3">
        <v>106</v>
      </c>
      <c r="R412" s="3" t="str">
        <f>IFERROR(MID(VLOOKUP($B412,Seqs!$A:$B,2,0),S412,1),"")</f>
        <v>L</v>
      </c>
      <c r="S412" s="3">
        <v>112</v>
      </c>
      <c r="T412" s="3" t="str">
        <f>IFERROR(MID(VLOOKUP($B412,Seqs!$A:$B,2,0),U412,1),"")</f>
        <v>T</v>
      </c>
      <c r="U412" s="3">
        <v>113</v>
      </c>
      <c r="V412" s="3" t="str">
        <f>IFERROR(MID(VLOOKUP($B412,Seqs!$A:$B,2,0),W412,1),"")</f>
        <v>T</v>
      </c>
      <c r="W412" s="105">
        <v>145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N</v>
      </c>
      <c r="AC412" s="105">
        <v>156</v>
      </c>
      <c r="AD412" s="3" t="str">
        <f>IFERROR(MID(VLOOKUP($B412,Seqs!$A:$B,2,0),AE412,1),"")</f>
        <v>G</v>
      </c>
      <c r="AE412" s="3">
        <v>181</v>
      </c>
      <c r="AF412" s="3" t="str">
        <f>IFERROR(MID(VLOOKUP($B412,Seqs!$A:$B,2,0),AG412,1),"")</f>
        <v/>
      </c>
      <c r="AG412" s="3" t="s">
        <v>23</v>
      </c>
      <c r="AH412" s="3" t="str">
        <f>IFERROR(MID(VLOOKUP($B412,Seqs!$A:$B,2,0),AI412,1),"")</f>
        <v/>
      </c>
      <c r="AI412" s="3" t="s">
        <v>23</v>
      </c>
      <c r="AJ412" s="3" t="str">
        <f>IFERROR(MID(VLOOKUP($B412,Seqs!$A:$B,2,0),AK412,1),"")</f>
        <v>H</v>
      </c>
      <c r="AK412" s="3">
        <v>199</v>
      </c>
      <c r="AL412" s="3" t="str">
        <f>IFERROR(MID(VLOOKUP($B412,Seqs!$A:$B,2,0),AM412,1),"")</f>
        <v>R</v>
      </c>
      <c r="AM412" s="3">
        <v>231</v>
      </c>
      <c r="AN412" s="3" t="str">
        <f>IFERROR(MID(VLOOKUP($B412,Seqs!$A:$B,2,0),AO412,1),"")</f>
        <v>S</v>
      </c>
      <c r="AO412" s="3">
        <v>251</v>
      </c>
      <c r="AP412" s="3" t="str">
        <f>IFERROR(MID(VLOOKUP($B412,Seqs!$A:$B,2,0),AQ412,1),"")</f>
        <v>C</v>
      </c>
      <c r="AQ412" s="3">
        <v>282</v>
      </c>
      <c r="AR412" s="3" t="str">
        <f>IFERROR(MID(VLOOKUP($B412,Seqs!$A:$B,2,0),AS412,1),"")</f>
        <v>D</v>
      </c>
      <c r="AS412" s="3">
        <v>288</v>
      </c>
      <c r="AT412" s="3" t="str">
        <f>IFERROR(MID(VLOOKUP($B412,Seqs!$A:$B,2,0),AU412,1),"")</f>
        <v>T</v>
      </c>
      <c r="AU412" s="3">
        <v>314</v>
      </c>
      <c r="AV412" s="3" t="str">
        <f>IFERROR(MID(VLOOKUP($B412,Seqs!$A:$B,2,0),AW412,1),"")</f>
        <v>N</v>
      </c>
      <c r="AW412" s="3">
        <v>315</v>
      </c>
      <c r="AX412" s="3" t="str">
        <f>IFERROR(MID(VLOOKUP($B412,Seqs!$A:$B,2,0),AY412,1),"")</f>
        <v>I</v>
      </c>
      <c r="AY412" s="3">
        <v>323</v>
      </c>
      <c r="AZ412" s="77" t="str">
        <f>VLOOKUP(B412,Classification!A:D,2,0)</f>
        <v>A</v>
      </c>
      <c r="BA412" s="94" t="str">
        <f>VLOOKUP(B412,Classification!A:D,4,0)</f>
        <v>Lysophospholipid(S1P)</v>
      </c>
      <c r="BB412" s="27" t="b">
        <f t="shared" si="2961"/>
        <v>1</v>
      </c>
      <c r="BC412" s="23">
        <f t="shared" si="2934"/>
        <v>232</v>
      </c>
      <c r="BD412" s="2" t="s">
        <v>1372</v>
      </c>
      <c r="BE412" s="3" t="s">
        <v>1370</v>
      </c>
      <c r="BF412" s="118">
        <v>2.8</v>
      </c>
      <c r="BG412" s="49" t="s">
        <v>1373</v>
      </c>
      <c r="BH412" s="49" t="s">
        <v>1373</v>
      </c>
      <c r="BI412" s="1"/>
      <c r="BJ412" s="70" t="s">
        <v>1283</v>
      </c>
      <c r="BK412" s="57" t="s">
        <v>1283</v>
      </c>
      <c r="BL412" s="57" t="s">
        <v>1283</v>
      </c>
      <c r="BM412" s="57" t="s">
        <v>1283</v>
      </c>
      <c r="BN412" s="57" t="s">
        <v>1283</v>
      </c>
      <c r="BO412" s="57" t="s">
        <v>1283</v>
      </c>
      <c r="BP412" s="57" t="s">
        <v>1283</v>
      </c>
      <c r="BQ412" s="57" t="s">
        <v>1283</v>
      </c>
      <c r="BR412" s="57" t="s">
        <v>1283</v>
      </c>
      <c r="BS412" s="57" t="s">
        <v>1283</v>
      </c>
      <c r="BT412" s="57" t="s">
        <v>1283</v>
      </c>
      <c r="BU412" s="57" t="s">
        <v>1283</v>
      </c>
      <c r="BV412" s="70">
        <f t="shared" si="2935"/>
        <v>42</v>
      </c>
      <c r="BW412" s="71">
        <f t="shared" si="2936"/>
        <v>74</v>
      </c>
      <c r="BX412" s="72">
        <f t="shared" si="2937"/>
        <v>78</v>
      </c>
      <c r="BY412" s="71">
        <f t="shared" si="2938"/>
        <v>106</v>
      </c>
      <c r="BZ412" s="72">
        <f t="shared" si="2939"/>
        <v>113</v>
      </c>
      <c r="CA412" s="71" t="str">
        <f t="shared" si="2940"/>
        <v>-</v>
      </c>
      <c r="CB412" s="72">
        <f t="shared" si="2941"/>
        <v>156</v>
      </c>
      <c r="CC412" s="71" t="str">
        <f t="shared" si="2942"/>
        <v>-</v>
      </c>
      <c r="CD412" s="72">
        <f t="shared" si="2943"/>
        <v>199</v>
      </c>
      <c r="CE412" s="71">
        <f t="shared" si="2944"/>
        <v>251</v>
      </c>
      <c r="CF412" s="72">
        <f t="shared" si="2945"/>
        <v>288</v>
      </c>
      <c r="CG412" s="71">
        <f t="shared" si="2946"/>
        <v>315</v>
      </c>
      <c r="CH412" s="70">
        <f t="shared" si="2947"/>
        <v>73</v>
      </c>
      <c r="CI412" s="71">
        <f t="shared" si="2948"/>
        <v>77</v>
      </c>
      <c r="CJ412" s="72">
        <f t="shared" si="2949"/>
        <v>104</v>
      </c>
      <c r="CK412" s="72">
        <f t="shared" si="2950"/>
        <v>112</v>
      </c>
      <c r="CL412" s="72">
        <f t="shared" si="2951"/>
        <v>145</v>
      </c>
      <c r="CM412" s="72" t="str">
        <f t="shared" si="2952"/>
        <v>-</v>
      </c>
      <c r="CN412" s="72">
        <f t="shared" si="2953"/>
        <v>181</v>
      </c>
      <c r="CO412" s="72" t="str">
        <f t="shared" si="2954"/>
        <v>-</v>
      </c>
      <c r="CP412" s="72">
        <f t="shared" si="2955"/>
        <v>231</v>
      </c>
      <c r="CQ412" s="72">
        <f t="shared" si="2956"/>
        <v>282</v>
      </c>
      <c r="CR412" s="72">
        <f t="shared" si="2957"/>
        <v>314</v>
      </c>
      <c r="CS412" s="72">
        <f t="shared" si="2958"/>
        <v>323</v>
      </c>
      <c r="CT412" s="23">
        <f t="shared" si="2959"/>
        <v>1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29" x14ac:dyDescent="0.2">
      <c r="A413" s="3" t="str">
        <f t="shared" ref="A413:A414" si="3802">CONCATENATE(B413,"_",C413)</f>
        <v>sucr1_rat__wt</v>
      </c>
      <c r="B413" s="3" t="s">
        <v>1593</v>
      </c>
      <c r="C413" s="3" t="s">
        <v>100</v>
      </c>
      <c r="D413" s="3" t="str">
        <f>IFERROR(MID(VLOOKUP($B413,Seqs!$A:$B,2,0),E413,1),"")</f>
        <v>C</v>
      </c>
      <c r="E413" s="3">
        <v>7</v>
      </c>
      <c r="F413" s="3" t="str">
        <f>IFERROR(MID(VLOOKUP($B413,Seqs!$A:$B,2,0),G413,1),"")</f>
        <v>M</v>
      </c>
      <c r="G413" s="3">
        <v>48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N</v>
      </c>
      <c r="M413" s="3">
        <v>52</v>
      </c>
      <c r="N413" s="3" t="str">
        <f>IFERROR(MID(VLOOKUP($B413,Seqs!$A:$B,2,0),O413,1),"")</f>
        <v>G</v>
      </c>
      <c r="O413" s="3">
        <v>82</v>
      </c>
      <c r="P413" s="3" t="str">
        <f>IFERROR(MID(VLOOKUP($B413,Seqs!$A:$B,2,0),Q413,1),"")</f>
        <v>N</v>
      </c>
      <c r="Q413" s="3">
        <v>83</v>
      </c>
      <c r="R413" s="3" t="str">
        <f>IFERROR(MID(VLOOKUP($B413,Seqs!$A:$B,2,0),S413,1),"")</f>
        <v>Y</v>
      </c>
      <c r="S413" s="3">
        <v>86</v>
      </c>
      <c r="T413" s="3" t="str">
        <f>IFERROR(MID(VLOOKUP($B413,Seqs!$A:$B,2,0),U413,1),"")</f>
        <v>G</v>
      </c>
      <c r="U413" s="3">
        <v>87</v>
      </c>
      <c r="V413" s="3" t="str">
        <f>IFERROR(MID(VLOOKUP($B413,Seqs!$A:$B,2,0),W413,1),"")</f>
        <v>F</v>
      </c>
      <c r="W413" s="3">
        <v>122</v>
      </c>
      <c r="X413" s="3" t="str">
        <f>IFERROR(MID(VLOOKUP($B413,Seqs!$A:$B,2,0),Y413,1),"")</f>
        <v>P</v>
      </c>
      <c r="Y413" s="3">
        <v>123</v>
      </c>
      <c r="Z413" s="3" t="str">
        <f>IFERROR(MID(VLOOKUP($B413,Seqs!$A:$B,2,0),AA413,1),"")</f>
        <v>Q</v>
      </c>
      <c r="AA413" s="3">
        <v>130</v>
      </c>
      <c r="AB413" s="3" t="str">
        <f>IFERROR(MID(VLOOKUP($B413,Seqs!$A:$B,2,0),AC413,1),"")</f>
        <v>K</v>
      </c>
      <c r="AC413" s="3">
        <v>131</v>
      </c>
      <c r="AD413" s="3" t="str">
        <f>IFERROR(MID(VLOOKUP($B413,Seqs!$A:$B,2,0),AE413,1),"")</f>
        <v>T</v>
      </c>
      <c r="AE413" s="3">
        <v>160</v>
      </c>
      <c r="AF413" s="3" t="str">
        <f>IFERROR(MID(VLOOKUP($B413,Seqs!$A:$B,2,0),AG413,1),"")</f>
        <v>C</v>
      </c>
      <c r="AG413" s="3">
        <v>168</v>
      </c>
      <c r="AH413" s="3" t="str">
        <f>IFERROR(MID(VLOOKUP($B413,Seqs!$A:$B,2,0),AI413,1),"")</f>
        <v>D</v>
      </c>
      <c r="AI413" s="3">
        <v>170</v>
      </c>
      <c r="AJ413" s="3" t="str">
        <f>IFERROR(MID(VLOOKUP($B413,Seqs!$A:$B,2,0),AK413,1),"")</f>
        <v>N</v>
      </c>
      <c r="AK413" s="3">
        <v>176</v>
      </c>
      <c r="AL413" s="3" t="str">
        <f>IFERROR(MID(VLOOKUP($B413,Seqs!$A:$B,2,0),AM413,1),"")</f>
        <v>R</v>
      </c>
      <c r="AM413" s="3">
        <v>213</v>
      </c>
      <c r="AN413" s="3" t="str">
        <f>IFERROR(MID(VLOOKUP($B413,Seqs!$A:$B,2,0),AO413,1),"")</f>
        <v>Q</v>
      </c>
      <c r="AO413" s="3">
        <v>217</v>
      </c>
      <c r="AP413" s="3" t="str">
        <f>IFERROR(MID(VLOOKUP($B413,Seqs!$A:$B,2,0),AQ413,1),"")</f>
        <v>L</v>
      </c>
      <c r="AQ413" s="3">
        <v>256</v>
      </c>
      <c r="AR413" s="3" t="str">
        <f>IFERROR(MID(VLOOKUP($B413,Seqs!$A:$B,2,0),AS413,1),"")</f>
        <v>C</v>
      </c>
      <c r="AS413" s="3">
        <v>263</v>
      </c>
      <c r="AT413" s="3" t="str">
        <f>IFERROR(MID(VLOOKUP($B413,Seqs!$A:$B,2,0),AU413,1),"")</f>
        <v>V</v>
      </c>
      <c r="AU413" s="3">
        <v>293</v>
      </c>
      <c r="AV413" s="3" t="str">
        <f>IFERROR(MID(VLOOKUP($B413,Seqs!$A:$B,2,0),AW413,1),"")</f>
        <v>G</v>
      </c>
      <c r="AW413" s="3">
        <v>294</v>
      </c>
      <c r="AX413" s="3" t="str">
        <f>IFERROR(MID(VLOOKUP($B413,Seqs!$A:$B,2,0),AY413,1),"")</f>
        <v>L</v>
      </c>
      <c r="AY413" s="3">
        <v>312</v>
      </c>
      <c r="AZ413" s="77" t="str">
        <f>VLOOKUP(B413,Classification!A:D,2,0)</f>
        <v>A</v>
      </c>
      <c r="BA413" s="94" t="str">
        <f>VLOOKUP(B413,Classification!A:D,4,0)</f>
        <v>Succinate</v>
      </c>
      <c r="BB413" s="27" t="b">
        <f t="shared" ref="BB413:BB414" si="3803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:BC414" si="3804">_xlfn.AGGREGATE(9,6,CH413:CS413)-_xlfn.AGGREGATE(9,6,BV413:CG413)+12</f>
        <v>283</v>
      </c>
      <c r="BD413" s="2" t="s">
        <v>23</v>
      </c>
      <c r="BE413" s="3" t="s">
        <v>23</v>
      </c>
      <c r="BF413" s="118" t="s">
        <v>23</v>
      </c>
      <c r="BG413" s="49" t="s">
        <v>1373</v>
      </c>
      <c r="BH413" s="49" t="s">
        <v>1373</v>
      </c>
      <c r="BI413" s="1"/>
      <c r="BJ413" s="70" t="s">
        <v>1283</v>
      </c>
      <c r="BK413" s="57" t="s">
        <v>1283</v>
      </c>
      <c r="BL413" s="57" t="s">
        <v>1283</v>
      </c>
      <c r="BM413" s="57" t="s">
        <v>1283</v>
      </c>
      <c r="BN413" s="57" t="s">
        <v>1283</v>
      </c>
      <c r="BO413" s="57" t="s">
        <v>1283</v>
      </c>
      <c r="BP413" s="57" t="s">
        <v>1283</v>
      </c>
      <c r="BQ413" s="57" t="s">
        <v>1283</v>
      </c>
      <c r="BR413" s="57" t="s">
        <v>1283</v>
      </c>
      <c r="BS413" s="57" t="s">
        <v>1283</v>
      </c>
      <c r="BT413" s="57" t="s">
        <v>1283</v>
      </c>
      <c r="BU413" s="57" t="s">
        <v>1283</v>
      </c>
      <c r="BV413" s="70">
        <f t="shared" ref="BV413:BV414" si="3805">E413</f>
        <v>7</v>
      </c>
      <c r="BW413" s="71" t="str">
        <f t="shared" ref="BW413:BW414" si="3806">I413</f>
        <v>-</v>
      </c>
      <c r="BX413" s="72">
        <f t="shared" ref="BX413:BX414" si="3807">M413</f>
        <v>52</v>
      </c>
      <c r="BY413" s="71">
        <f t="shared" ref="BY413:BY414" si="3808">Q413</f>
        <v>83</v>
      </c>
      <c r="BZ413" s="72">
        <f t="shared" ref="BZ413:BZ414" si="3809">U413</f>
        <v>87</v>
      </c>
      <c r="CA413" s="71">
        <f t="shared" ref="CA413:CA414" si="3810">Y413</f>
        <v>123</v>
      </c>
      <c r="CB413" s="72">
        <f t="shared" ref="CB413:CB414" si="3811">AC413</f>
        <v>131</v>
      </c>
      <c r="CC413" s="71">
        <f t="shared" ref="CC413:CC414" si="3812">AG413</f>
        <v>168</v>
      </c>
      <c r="CD413" s="72">
        <f t="shared" ref="CD413:CD414" si="3813">AK413</f>
        <v>176</v>
      </c>
      <c r="CE413" s="71">
        <f t="shared" ref="CE413:CE414" si="3814">AO413</f>
        <v>217</v>
      </c>
      <c r="CF413" s="72">
        <f t="shared" ref="CF413:CF414" si="3815">AS413</f>
        <v>263</v>
      </c>
      <c r="CG413" s="71">
        <f t="shared" ref="CG413:CG414" si="3816">AW413</f>
        <v>294</v>
      </c>
      <c r="CH413" s="70">
        <f t="shared" ref="CH413:CH414" si="3817">G413</f>
        <v>48</v>
      </c>
      <c r="CI413" s="71" t="str">
        <f t="shared" ref="CI413:CI414" si="3818">K413</f>
        <v>-</v>
      </c>
      <c r="CJ413" s="72">
        <f t="shared" ref="CJ413:CJ414" si="3819">O413</f>
        <v>82</v>
      </c>
      <c r="CK413" s="72">
        <f t="shared" ref="CK413:CK414" si="3820">S413</f>
        <v>86</v>
      </c>
      <c r="CL413" s="72">
        <f t="shared" ref="CL413:CL414" si="3821">W413</f>
        <v>122</v>
      </c>
      <c r="CM413" s="72">
        <f t="shared" ref="CM413:CM414" si="3822">AA413</f>
        <v>130</v>
      </c>
      <c r="CN413" s="72">
        <f t="shared" ref="CN413:CN414" si="3823">AE413</f>
        <v>160</v>
      </c>
      <c r="CO413" s="72">
        <f t="shared" ref="CO413:CO414" si="3824">AI413</f>
        <v>170</v>
      </c>
      <c r="CP413" s="72">
        <f t="shared" ref="CP413:CP414" si="3825">AM413</f>
        <v>213</v>
      </c>
      <c r="CQ413" s="72">
        <f t="shared" ref="CQ413:CQ414" si="3826">AQ413</f>
        <v>256</v>
      </c>
      <c r="CR413" s="72">
        <f t="shared" ref="CR413:CR414" si="3827">AU413</f>
        <v>293</v>
      </c>
      <c r="CS413" s="72">
        <f t="shared" ref="CS413:CS414" si="3828">AY413</f>
        <v>312</v>
      </c>
      <c r="CT413" s="23" t="e">
        <f t="shared" ref="CT413:CT414" si="3829">M413-K413</f>
        <v>#VALUE!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29" x14ac:dyDescent="0.2">
      <c r="A414" s="3" t="str">
        <f t="shared" si="3802"/>
        <v>sucr1_rat_6IBB</v>
      </c>
      <c r="B414" s="3" t="s">
        <v>1593</v>
      </c>
      <c r="C414" s="3" t="s">
        <v>1594</v>
      </c>
      <c r="D414" s="3" t="str">
        <f>IFERROR(MID(VLOOKUP($B414,Seqs!$A:$B,2,0),E414,1),"")</f>
        <v>C</v>
      </c>
      <c r="E414" s="3">
        <v>7</v>
      </c>
      <c r="F414" s="3" t="str">
        <f>IFERROR(MID(VLOOKUP($B414,Seqs!$A:$B,2,0),G414,1),"")</f>
        <v>M</v>
      </c>
      <c r="G414" s="3">
        <v>48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N</v>
      </c>
      <c r="M414" s="3">
        <v>52</v>
      </c>
      <c r="N414" s="3" t="str">
        <f>IFERROR(MID(VLOOKUP($B414,Seqs!$A:$B,2,0),O414,1),"")</f>
        <v>T</v>
      </c>
      <c r="O414" s="3">
        <v>81</v>
      </c>
      <c r="P414" s="3" t="str">
        <f>IFERROR(MID(VLOOKUP($B414,Seqs!$A:$B,2,0),Q414,1),"")</f>
        <v>N</v>
      </c>
      <c r="Q414" s="3">
        <v>83</v>
      </c>
      <c r="R414" s="3" t="str">
        <f>IFERROR(MID(VLOOKUP($B414,Seqs!$A:$B,2,0),S414,1),"")</f>
        <v>Y</v>
      </c>
      <c r="S414" s="3">
        <v>86</v>
      </c>
      <c r="T414" s="3" t="str">
        <f>IFERROR(MID(VLOOKUP($B414,Seqs!$A:$B,2,0),U414,1),"")</f>
        <v>G</v>
      </c>
      <c r="U414" s="3">
        <v>87</v>
      </c>
      <c r="V414" s="3" t="str">
        <f>IFERROR(MID(VLOOKUP($B414,Seqs!$A:$B,2,0),W414,1),"")</f>
        <v>F</v>
      </c>
      <c r="W414" s="3">
        <v>122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K</v>
      </c>
      <c r="AC414" s="3">
        <v>131</v>
      </c>
      <c r="AD414" s="3" t="str">
        <f>IFERROR(MID(VLOOKUP($B414,Seqs!$A:$B,2,0),AE414,1),"")</f>
        <v>I</v>
      </c>
      <c r="AE414" s="3">
        <v>157</v>
      </c>
      <c r="AF414" s="3" t="str">
        <f>IFERROR(MID(VLOOKUP($B414,Seqs!$A:$B,2,0),AG414,1),"")</f>
        <v>C</v>
      </c>
      <c r="AG414" s="3">
        <v>168</v>
      </c>
      <c r="AH414" s="3" t="str">
        <f>IFERROR(MID(VLOOKUP($B414,Seqs!$A:$B,2,0),AI414,1),"")</f>
        <v>D</v>
      </c>
      <c r="AI414" s="3">
        <v>170</v>
      </c>
      <c r="AJ414" s="3" t="str">
        <f>IFERROR(MID(VLOOKUP($B414,Seqs!$A:$B,2,0),AK414,1),"")</f>
        <v>N</v>
      </c>
      <c r="AK414" s="3">
        <v>176</v>
      </c>
      <c r="AL414" s="3" t="str">
        <f>IFERROR(MID(VLOOKUP($B414,Seqs!$A:$B,2,0),AM414,1),"")</f>
        <v>R</v>
      </c>
      <c r="AM414" s="3">
        <v>213</v>
      </c>
      <c r="AN414" s="3" t="str">
        <f>IFERROR(MID(VLOOKUP($B414,Seqs!$A:$B,2,0),AO414,1),"")</f>
        <v>L</v>
      </c>
      <c r="AO414" s="3">
        <v>227</v>
      </c>
      <c r="AP414" s="3" t="str">
        <f>IFERROR(MID(VLOOKUP($B414,Seqs!$A:$B,2,0),AQ414,1),"")</f>
        <v>L</v>
      </c>
      <c r="AQ414" s="3">
        <v>256</v>
      </c>
      <c r="AR414" s="3" t="str">
        <f>IFERROR(MID(VLOOKUP($B414,Seqs!$A:$B,2,0),AS414,1),"")</f>
        <v>C</v>
      </c>
      <c r="AS414" s="3">
        <v>263</v>
      </c>
      <c r="AT414" s="3" t="str">
        <f>IFERROR(MID(VLOOKUP($B414,Seqs!$A:$B,2,0),AU414,1),"")</f>
        <v>Y</v>
      </c>
      <c r="AU414" s="3">
        <v>290</v>
      </c>
      <c r="AV414" s="3" t="str">
        <f>IFERROR(MID(VLOOKUP($B414,Seqs!$A:$B,2,0),AW414,1),"")</f>
        <v>H</v>
      </c>
      <c r="AW414" s="3">
        <v>296</v>
      </c>
      <c r="AX414" s="3" t="str">
        <f>IFERROR(MID(VLOOKUP($B414,Seqs!$A:$B,2,0),AY414,1),"")</f>
        <v>L</v>
      </c>
      <c r="AY414" s="3">
        <v>312</v>
      </c>
      <c r="AZ414" s="77" t="str">
        <f>VLOOKUP(B414,Classification!A:D,2,0)</f>
        <v>A</v>
      </c>
      <c r="BA414" s="94" t="str">
        <f>VLOOKUP(B414,Classification!A:D,4,0)</f>
        <v>Succinate</v>
      </c>
      <c r="BB414" s="27" t="b">
        <f t="shared" si="3803"/>
        <v>1</v>
      </c>
      <c r="BC414" s="23">
        <f t="shared" si="3804"/>
        <v>257</v>
      </c>
      <c r="BD414" s="2" t="s">
        <v>23</v>
      </c>
      <c r="BE414" s="3" t="s">
        <v>1287</v>
      </c>
      <c r="BF414" s="118">
        <v>2.12</v>
      </c>
      <c r="BG414" s="49" t="s">
        <v>1</v>
      </c>
      <c r="BH414" s="49" t="s">
        <v>1</v>
      </c>
      <c r="BI414" s="1"/>
      <c r="BJ414" s="70" t="s">
        <v>1283</v>
      </c>
      <c r="BK414" s="57" t="s">
        <v>1283</v>
      </c>
      <c r="BL414" s="57" t="s">
        <v>1283</v>
      </c>
      <c r="BM414" s="57" t="s">
        <v>1283</v>
      </c>
      <c r="BN414" s="57" t="s">
        <v>1283</v>
      </c>
      <c r="BO414" s="57" t="s">
        <v>1283</v>
      </c>
      <c r="BP414" s="57" t="s">
        <v>1283</v>
      </c>
      <c r="BQ414" s="57" t="s">
        <v>1283</v>
      </c>
      <c r="BR414" s="57" t="s">
        <v>1283</v>
      </c>
      <c r="BS414" s="57" t="s">
        <v>1283</v>
      </c>
      <c r="BT414" s="57" t="s">
        <v>1283</v>
      </c>
      <c r="BU414" s="57" t="s">
        <v>1283</v>
      </c>
      <c r="BV414" s="70">
        <f t="shared" si="3805"/>
        <v>7</v>
      </c>
      <c r="BW414" s="71" t="str">
        <f t="shared" si="3806"/>
        <v>-</v>
      </c>
      <c r="BX414" s="72">
        <f t="shared" si="3807"/>
        <v>52</v>
      </c>
      <c r="BY414" s="71">
        <f t="shared" si="3808"/>
        <v>83</v>
      </c>
      <c r="BZ414" s="72">
        <f t="shared" si="3809"/>
        <v>87</v>
      </c>
      <c r="CA414" s="71" t="str">
        <f t="shared" si="3810"/>
        <v>-</v>
      </c>
      <c r="CB414" s="72">
        <f t="shared" si="3811"/>
        <v>131</v>
      </c>
      <c r="CC414" s="71">
        <f t="shared" si="3812"/>
        <v>168</v>
      </c>
      <c r="CD414" s="72">
        <f t="shared" si="3813"/>
        <v>176</v>
      </c>
      <c r="CE414" s="71">
        <f t="shared" si="3814"/>
        <v>227</v>
      </c>
      <c r="CF414" s="72">
        <f t="shared" si="3815"/>
        <v>263</v>
      </c>
      <c r="CG414" s="71">
        <f t="shared" si="3816"/>
        <v>296</v>
      </c>
      <c r="CH414" s="70">
        <f t="shared" si="3817"/>
        <v>48</v>
      </c>
      <c r="CI414" s="71" t="str">
        <f t="shared" si="3818"/>
        <v>-</v>
      </c>
      <c r="CJ414" s="72">
        <f t="shared" si="3819"/>
        <v>81</v>
      </c>
      <c r="CK414" s="72">
        <f t="shared" si="3820"/>
        <v>86</v>
      </c>
      <c r="CL414" s="72">
        <f t="shared" si="3821"/>
        <v>122</v>
      </c>
      <c r="CM414" s="72" t="str">
        <f t="shared" si="3822"/>
        <v>-</v>
      </c>
      <c r="CN414" s="72">
        <f t="shared" si="3823"/>
        <v>157</v>
      </c>
      <c r="CO414" s="72">
        <f t="shared" si="3824"/>
        <v>170</v>
      </c>
      <c r="CP414" s="72">
        <f t="shared" si="3825"/>
        <v>213</v>
      </c>
      <c r="CQ414" s="72">
        <f t="shared" si="3826"/>
        <v>256</v>
      </c>
      <c r="CR414" s="72">
        <f t="shared" si="3827"/>
        <v>290</v>
      </c>
      <c r="CS414" s="72">
        <f t="shared" si="3828"/>
        <v>312</v>
      </c>
      <c r="CT414" s="23" t="e">
        <f t="shared" si="3829"/>
        <v>#VALUE!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29" x14ac:dyDescent="0.2">
      <c r="A415" s="3" t="str">
        <f t="shared" ref="A415" si="3830">CONCATENATE(B415,"_",C415)</f>
        <v>sucr1_rat_6RNK</v>
      </c>
      <c r="B415" s="3" t="s">
        <v>1593</v>
      </c>
      <c r="C415" s="3" t="s">
        <v>1596</v>
      </c>
      <c r="D415" s="3" t="str">
        <f>IFERROR(MID(VLOOKUP($B415,Seqs!$A:$B,2,0),E415,1),"")</f>
        <v>C</v>
      </c>
      <c r="E415" s="3">
        <v>7</v>
      </c>
      <c r="F415" s="3" t="str">
        <f>IFERROR(MID(VLOOKUP($B415,Seqs!$A:$B,2,0),G415,1),"")</f>
        <v>M</v>
      </c>
      <c r="G415" s="3">
        <v>48</v>
      </c>
      <c r="H415" s="3" t="str">
        <f>IFERROR(MID(VLOOKUP($B415,Seqs!$A:$B,2,0),I415,1),"")</f>
        <v/>
      </c>
      <c r="I415" s="23" t="s">
        <v>23</v>
      </c>
      <c r="J415" s="3" t="str">
        <f>IFERROR(MID(VLOOKUP($B415,Seqs!$A:$B,2,0),K415,1),"")</f>
        <v/>
      </c>
      <c r="K415" s="23" t="s">
        <v>23</v>
      </c>
      <c r="L415" s="3" t="str">
        <f>IFERROR(MID(VLOOKUP($B415,Seqs!$A:$B,2,0),M415,1),"")</f>
        <v>N</v>
      </c>
      <c r="M415" s="3">
        <v>52</v>
      </c>
      <c r="N415" s="3" t="str">
        <f>IFERROR(MID(VLOOKUP($B415,Seqs!$A:$B,2,0),O415,1),"")</f>
        <v>G</v>
      </c>
      <c r="O415" s="3">
        <v>82</v>
      </c>
      <c r="P415" s="3" t="str">
        <f>IFERROR(MID(VLOOKUP($B415,Seqs!$A:$B,2,0),Q415,1),"")</f>
        <v>N</v>
      </c>
      <c r="Q415" s="3">
        <v>83</v>
      </c>
      <c r="R415" s="3" t="str">
        <f>IFERROR(MID(VLOOKUP($B415,Seqs!$A:$B,2,0),S415,1),"")</f>
        <v>Y</v>
      </c>
      <c r="S415" s="3">
        <v>86</v>
      </c>
      <c r="T415" s="3" t="str">
        <f>IFERROR(MID(VLOOKUP($B415,Seqs!$A:$B,2,0),U415,1),"")</f>
        <v>G</v>
      </c>
      <c r="U415" s="3">
        <v>87</v>
      </c>
      <c r="V415" s="3" t="str">
        <f>IFERROR(MID(VLOOKUP($B415,Seqs!$A:$B,2,0),W415,1),"")</f>
        <v>F</v>
      </c>
      <c r="W415" s="3">
        <v>122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K</v>
      </c>
      <c r="AC415" s="3">
        <v>131</v>
      </c>
      <c r="AD415" s="3" t="str">
        <f>IFERROR(MID(VLOOKUP($B415,Seqs!$A:$B,2,0),AE415,1),"")</f>
        <v>T</v>
      </c>
      <c r="AE415" s="3">
        <v>160</v>
      </c>
      <c r="AF415" s="3" t="str">
        <f>IFERROR(MID(VLOOKUP($B415,Seqs!$A:$B,2,0),AG415,1),"")</f>
        <v>C</v>
      </c>
      <c r="AG415" s="3">
        <v>168</v>
      </c>
      <c r="AH415" s="3" t="str">
        <f>IFERROR(MID(VLOOKUP($B415,Seqs!$A:$B,2,0),AI415,1),"")</f>
        <v>D</v>
      </c>
      <c r="AI415" s="3">
        <v>170</v>
      </c>
      <c r="AJ415" s="3" t="str">
        <f>IFERROR(MID(VLOOKUP($B415,Seqs!$A:$B,2,0),AK415,1),"")</f>
        <v>N</v>
      </c>
      <c r="AK415" s="3">
        <v>176</v>
      </c>
      <c r="AL415" s="3" t="str">
        <f>IFERROR(MID(VLOOKUP($B415,Seqs!$A:$B,2,0),AM415,1),"")</f>
        <v>S</v>
      </c>
      <c r="AM415" s="3">
        <v>214</v>
      </c>
      <c r="AN415" s="3" t="str">
        <f>IFERROR(MID(VLOOKUP($B415,Seqs!$A:$B,2,0),AO415,1),"")</f>
        <v>N</v>
      </c>
      <c r="AO415" s="3">
        <v>224</v>
      </c>
      <c r="AP415" s="3" t="str">
        <f>IFERROR(MID(VLOOKUP($B415,Seqs!$A:$B,2,0),AQ415,1),"")</f>
        <v>L</v>
      </c>
      <c r="AQ415" s="3">
        <v>256</v>
      </c>
      <c r="AR415" s="3" t="str">
        <f>IFERROR(MID(VLOOKUP($B415,Seqs!$A:$B,2,0),AS415,1),"")</f>
        <v>G</v>
      </c>
      <c r="AS415" s="3">
        <v>262</v>
      </c>
      <c r="AT415" s="3" t="str">
        <f>IFERROR(MID(VLOOKUP($B415,Seqs!$A:$B,2,0),AU415,1),"")</f>
        <v>Y</v>
      </c>
      <c r="AU415" s="3">
        <v>290</v>
      </c>
      <c r="AV415" s="3" t="str">
        <f>IFERROR(MID(VLOOKUP($B415,Seqs!$A:$B,2,0),AW415,1),"")</f>
        <v>H</v>
      </c>
      <c r="AW415" s="3">
        <v>296</v>
      </c>
      <c r="AX415" s="3" t="str">
        <f>IFERROR(MID(VLOOKUP($B415,Seqs!$A:$B,2,0),AY415,1),"")</f>
        <v>L</v>
      </c>
      <c r="AY415" s="3">
        <v>305</v>
      </c>
      <c r="AZ415" s="77" t="str">
        <f>VLOOKUP(B415,Classification!A:D,2,0)</f>
        <v>A</v>
      </c>
      <c r="BA415" s="94" t="str">
        <f>VLOOKUP(B415,Classification!A:D,4,0)</f>
        <v>Succinate</v>
      </c>
      <c r="BB415" s="27" t="b">
        <f t="shared" ref="BB415" si="3831">AND(E415&lt;G415,OR(G415&lt;I415,I415="-"),OR(I415&lt;K415,I415="-"),OR(K415&lt;M415,K415="-"),M415&lt;O415,OR(O415&lt;Q415,Q415="-"),OR(Q415&lt;S415,Q415="-"),OR(S415&lt;U415,S415="-"),U415&lt;W415,OR(W415&lt;Y415,Y415="-"),OR(Y415&lt;AA415,Y415="-"),OR(AA415&lt;AC415,AA415="-"),AC415&lt;AE415,OR(AE415&lt;AG415,AG415="-"),OR(AG415&lt;AI415,AG415="-"),OR(AI415&lt;AK415,AI415="-"),AK415&lt;AM415,AM415&lt;AO415,AO415&lt;AQ415,AQ415&lt;AS415,AS415&lt;AU415,OR(AU415&lt;AW415,AW415="-"),OR(AW415&lt;AY415,AW415="-"))</f>
        <v>1</v>
      </c>
      <c r="BC415" s="23">
        <f t="shared" ref="BC415" si="3832">_xlfn.AGGREGATE(9,6,CH415:CS415)-_xlfn.AGGREGATE(9,6,BV415:CG415)+12</f>
        <v>259</v>
      </c>
      <c r="BD415" s="2" t="s">
        <v>1371</v>
      </c>
      <c r="BE415" s="3" t="s">
        <v>1287</v>
      </c>
      <c r="BF415" s="118">
        <v>1.94</v>
      </c>
      <c r="BG415" s="49" t="s">
        <v>1</v>
      </c>
      <c r="BH415" s="49" t="s">
        <v>1</v>
      </c>
      <c r="BI415" s="1"/>
      <c r="BJ415" s="70" t="s">
        <v>1283</v>
      </c>
      <c r="BK415" s="57" t="s">
        <v>1283</v>
      </c>
      <c r="BL415" s="57" t="s">
        <v>1283</v>
      </c>
      <c r="BM415" s="57" t="s">
        <v>1283</v>
      </c>
      <c r="BN415" s="57" t="s">
        <v>1283</v>
      </c>
      <c r="BO415" s="57" t="s">
        <v>1283</v>
      </c>
      <c r="BP415" s="57" t="s">
        <v>1283</v>
      </c>
      <c r="BQ415" s="57" t="s">
        <v>1283</v>
      </c>
      <c r="BR415" s="57" t="s">
        <v>1283</v>
      </c>
      <c r="BS415" s="57" t="s">
        <v>1283</v>
      </c>
      <c r="BT415" s="57" t="s">
        <v>1283</v>
      </c>
      <c r="BU415" s="57" t="s">
        <v>1283</v>
      </c>
      <c r="BV415" s="70">
        <f t="shared" ref="BV415" si="3833">E415</f>
        <v>7</v>
      </c>
      <c r="BW415" s="71" t="str">
        <f t="shared" ref="BW415" si="3834">I415</f>
        <v>-</v>
      </c>
      <c r="BX415" s="72">
        <f t="shared" ref="BX415" si="3835">M415</f>
        <v>52</v>
      </c>
      <c r="BY415" s="71">
        <f t="shared" ref="BY415" si="3836">Q415</f>
        <v>83</v>
      </c>
      <c r="BZ415" s="72">
        <f t="shared" ref="BZ415" si="3837">U415</f>
        <v>87</v>
      </c>
      <c r="CA415" s="71" t="str">
        <f t="shared" ref="CA415" si="3838">Y415</f>
        <v>-</v>
      </c>
      <c r="CB415" s="72">
        <f t="shared" ref="CB415" si="3839">AC415</f>
        <v>131</v>
      </c>
      <c r="CC415" s="71">
        <f t="shared" ref="CC415" si="3840">AG415</f>
        <v>168</v>
      </c>
      <c r="CD415" s="72">
        <f t="shared" ref="CD415" si="3841">AK415</f>
        <v>176</v>
      </c>
      <c r="CE415" s="71">
        <f t="shared" ref="CE415" si="3842">AO415</f>
        <v>224</v>
      </c>
      <c r="CF415" s="72">
        <f t="shared" ref="CF415" si="3843">AS415</f>
        <v>262</v>
      </c>
      <c r="CG415" s="71">
        <f t="shared" ref="CG415" si="3844">AW415</f>
        <v>296</v>
      </c>
      <c r="CH415" s="70">
        <f t="shared" ref="CH415" si="3845">G415</f>
        <v>48</v>
      </c>
      <c r="CI415" s="71" t="str">
        <f t="shared" ref="CI415" si="3846">K415</f>
        <v>-</v>
      </c>
      <c r="CJ415" s="72">
        <f t="shared" ref="CJ415" si="3847">O415</f>
        <v>82</v>
      </c>
      <c r="CK415" s="72">
        <f t="shared" ref="CK415" si="3848">S415</f>
        <v>86</v>
      </c>
      <c r="CL415" s="72">
        <f t="shared" ref="CL415" si="3849">W415</f>
        <v>122</v>
      </c>
      <c r="CM415" s="72" t="str">
        <f t="shared" ref="CM415" si="3850">AA415</f>
        <v>-</v>
      </c>
      <c r="CN415" s="72">
        <f t="shared" ref="CN415" si="3851">AE415</f>
        <v>160</v>
      </c>
      <c r="CO415" s="72">
        <f t="shared" ref="CO415" si="3852">AI415</f>
        <v>170</v>
      </c>
      <c r="CP415" s="72">
        <f t="shared" ref="CP415" si="3853">AM415</f>
        <v>214</v>
      </c>
      <c r="CQ415" s="72">
        <f t="shared" ref="CQ415" si="3854">AQ415</f>
        <v>256</v>
      </c>
      <c r="CR415" s="72">
        <f t="shared" ref="CR415" si="3855">AU415</f>
        <v>290</v>
      </c>
      <c r="CS415" s="72">
        <f t="shared" ref="CS415" si="3856">AY415</f>
        <v>305</v>
      </c>
      <c r="CT415" s="23" t="e">
        <f t="shared" ref="CT415" si="3857">M415-K415</f>
        <v>#VALUE!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29" x14ac:dyDescent="0.2">
      <c r="A416" s="3" t="str">
        <f t="shared" si="2960"/>
        <v>us28_hcmva__wt</v>
      </c>
      <c r="B416" s="3" t="s">
        <v>919</v>
      </c>
      <c r="C416" s="3" t="s">
        <v>100</v>
      </c>
      <c r="D416" s="3" t="str">
        <f>IFERROR(MID(VLOOKUP($B416,Seqs!$A:$B,2,0),E416,1),"")</f>
        <v>F</v>
      </c>
      <c r="E416" s="105">
        <v>25</v>
      </c>
      <c r="F416" s="3" t="str">
        <f>IFERROR(MID(VLOOKUP($B416,Seqs!$A:$B,2,0),G416,1),"")</f>
        <v>R</v>
      </c>
      <c r="G416" s="3">
        <v>61</v>
      </c>
      <c r="H416" s="3" t="str">
        <f>IFERROR(MID(VLOOKUP($B416,Seqs!$A:$B,2,0),I416,1),"")</f>
        <v>R</v>
      </c>
      <c r="I416" s="23">
        <v>62</v>
      </c>
      <c r="J416" s="3" t="str">
        <f>IFERROR(MID(VLOOKUP($B416,Seqs!$A:$B,2,0),K416,1),"")</f>
        <v>Q</v>
      </c>
      <c r="K416" s="23">
        <v>65</v>
      </c>
      <c r="L416" s="3" t="str">
        <f>IFERROR(MID(VLOOKUP($B416,Seqs!$A:$B,2,0),M416,1),"")</f>
        <v>C</v>
      </c>
      <c r="M416" s="3">
        <v>66</v>
      </c>
      <c r="N416" s="3" t="str">
        <f>IFERROR(MID(VLOOKUP($B416,Seqs!$A:$B,2,0),O416,1),"")</f>
        <v>D</v>
      </c>
      <c r="O416" s="3">
        <v>95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A</v>
      </c>
      <c r="U416" s="105">
        <v>100</v>
      </c>
      <c r="V416" s="3" t="str">
        <f>IFERROR(MID(VLOOKUP($B416,Seqs!$A:$B,2,0),W416,1),"")</f>
        <v>V</v>
      </c>
      <c r="W416" s="105">
        <v>134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P</v>
      </c>
      <c r="AC416" s="9">
        <v>140</v>
      </c>
      <c r="AD416" s="3" t="str">
        <f>IFERROR(MID(VLOOKUP($B416,Seqs!$A:$B,2,0),AE416,1),"")</f>
        <v>M</v>
      </c>
      <c r="AE416" s="105">
        <v>164</v>
      </c>
      <c r="AF416" s="3" t="str">
        <f>IFERROR(MID(VLOOKUP($B416,Seqs!$A:$B,2,0),AG416,1),"")</f>
        <v>C</v>
      </c>
      <c r="AG416" s="3">
        <v>173</v>
      </c>
      <c r="AH416" s="3" t="str">
        <f>IFERROR(MID(VLOOKUP($B416,Seqs!$A:$B,2,0),AI416,1),"")</f>
        <v>T</v>
      </c>
      <c r="AI416" s="3">
        <v>175</v>
      </c>
      <c r="AJ416" s="3" t="str">
        <f>IFERROR(MID(VLOOKUP($B416,Seqs!$A:$B,2,0),AK416,1),"")</f>
        <v>S</v>
      </c>
      <c r="AK416" s="105">
        <v>183</v>
      </c>
      <c r="AL416" s="3" t="str">
        <f>IFERROR(MID(VLOOKUP($B416,Seqs!$A:$B,2,0),AM416,1),"")</f>
        <v>S</v>
      </c>
      <c r="AM416" s="3">
        <v>218</v>
      </c>
      <c r="AN416" s="3" t="str">
        <f>IFERROR(MID(VLOOKUP($B416,Seqs!$A:$B,2,0),AO416,1),"")</f>
        <v>H</v>
      </c>
      <c r="AO416" s="3">
        <v>222</v>
      </c>
      <c r="AP416" s="3" t="str">
        <f>IFERROR(MID(VLOOKUP($B416,Seqs!$A:$B,2,0),AQ416,1),"")</f>
        <v>K</v>
      </c>
      <c r="AQ416" s="3">
        <v>257</v>
      </c>
      <c r="AR416" s="3" t="str">
        <f>IFERROR(MID(VLOOKUP($B416,Seqs!$A:$B,2,0),AS416,1),"")</f>
        <v>S</v>
      </c>
      <c r="AS416" s="3">
        <v>262</v>
      </c>
      <c r="AT416" s="3" t="str">
        <f>IFERROR(MID(VLOOKUP($B416,Seqs!$A:$B,2,0),AU416,1),"")</f>
        <v>V</v>
      </c>
      <c r="AU416" s="3">
        <v>294</v>
      </c>
      <c r="AV416" s="3" t="str">
        <f>IFERROR(MID(VLOOKUP($B416,Seqs!$A:$B,2,0),AW416,1),"")</f>
        <v>G</v>
      </c>
      <c r="AW416" s="3">
        <v>295</v>
      </c>
      <c r="AX416" s="3" t="str">
        <f>IFERROR(MID(VLOOKUP($B416,Seqs!$A:$B,2,0),AY416,1),"")</f>
        <v>R</v>
      </c>
      <c r="AY416" s="3">
        <v>310</v>
      </c>
      <c r="AZ416" s="77" t="str">
        <f>VLOOKUP(B416,Classification!A:D,2,0)</f>
        <v>A</v>
      </c>
      <c r="BA416" s="94" t="str">
        <f>VLOOKUP(B416,Classification!A:D,4,0)</f>
        <v>Chemokine</v>
      </c>
      <c r="BB416" s="27" t="b">
        <f t="shared" si="2961"/>
        <v>1</v>
      </c>
      <c r="BC416" s="23">
        <f t="shared" si="2934"/>
        <v>257</v>
      </c>
      <c r="BD416" s="56" t="s">
        <v>23</v>
      </c>
      <c r="BE416" s="3" t="s">
        <v>23</v>
      </c>
      <c r="BF416" s="118" t="s">
        <v>23</v>
      </c>
      <c r="BG416" s="49" t="s">
        <v>1368</v>
      </c>
      <c r="BH416" s="49" t="s">
        <v>1373</v>
      </c>
      <c r="BI416" s="1"/>
      <c r="BJ416" s="70" t="s">
        <v>1283</v>
      </c>
      <c r="BK416" s="57" t="s">
        <v>1283</v>
      </c>
      <c r="BL416" s="57" t="s">
        <v>1283</v>
      </c>
      <c r="BM416" s="57" t="s">
        <v>1283</v>
      </c>
      <c r="BN416" s="57" t="s">
        <v>1283</v>
      </c>
      <c r="BO416" s="57" t="s">
        <v>1283</v>
      </c>
      <c r="BP416" s="57" t="s">
        <v>1283</v>
      </c>
      <c r="BQ416" s="57" t="s">
        <v>1283</v>
      </c>
      <c r="BR416" s="57" t="s">
        <v>1283</v>
      </c>
      <c r="BS416" s="57" t="s">
        <v>1283</v>
      </c>
      <c r="BT416" s="57" t="s">
        <v>1283</v>
      </c>
      <c r="BU416" s="57" t="s">
        <v>1283</v>
      </c>
      <c r="BV416" s="70">
        <f t="shared" si="2935"/>
        <v>25</v>
      </c>
      <c r="BW416" s="71">
        <f t="shared" si="2936"/>
        <v>62</v>
      </c>
      <c r="BX416" s="72">
        <f t="shared" si="2937"/>
        <v>66</v>
      </c>
      <c r="BY416" s="71" t="str">
        <f t="shared" si="2938"/>
        <v>-</v>
      </c>
      <c r="BZ416" s="72">
        <f t="shared" si="2939"/>
        <v>100</v>
      </c>
      <c r="CA416" s="71" t="str">
        <f t="shared" si="2940"/>
        <v>-</v>
      </c>
      <c r="CB416" s="72">
        <f t="shared" si="2941"/>
        <v>140</v>
      </c>
      <c r="CC416" s="71">
        <f t="shared" si="2942"/>
        <v>173</v>
      </c>
      <c r="CD416" s="72">
        <f t="shared" si="2943"/>
        <v>183</v>
      </c>
      <c r="CE416" s="71">
        <f t="shared" si="2944"/>
        <v>222</v>
      </c>
      <c r="CF416" s="72">
        <f t="shared" si="2945"/>
        <v>262</v>
      </c>
      <c r="CG416" s="71">
        <f t="shared" si="2946"/>
        <v>295</v>
      </c>
      <c r="CH416" s="70">
        <f t="shared" si="2947"/>
        <v>61</v>
      </c>
      <c r="CI416" s="71">
        <f t="shared" si="2948"/>
        <v>65</v>
      </c>
      <c r="CJ416" s="72">
        <f t="shared" si="2949"/>
        <v>95</v>
      </c>
      <c r="CK416" s="72" t="str">
        <f t="shared" si="2950"/>
        <v>-</v>
      </c>
      <c r="CL416" s="72">
        <f t="shared" si="2951"/>
        <v>134</v>
      </c>
      <c r="CM416" s="72" t="str">
        <f t="shared" si="2952"/>
        <v>-</v>
      </c>
      <c r="CN416" s="72">
        <f t="shared" si="2953"/>
        <v>164</v>
      </c>
      <c r="CO416" s="72">
        <f t="shared" si="2954"/>
        <v>175</v>
      </c>
      <c r="CP416" s="72">
        <f t="shared" si="2955"/>
        <v>218</v>
      </c>
      <c r="CQ416" s="72">
        <f t="shared" si="2956"/>
        <v>257</v>
      </c>
      <c r="CR416" s="72">
        <f t="shared" si="2957"/>
        <v>294</v>
      </c>
      <c r="CS416" s="72">
        <f t="shared" si="2958"/>
        <v>310</v>
      </c>
      <c r="CT416" s="23">
        <f t="shared" si="2959"/>
        <v>1</v>
      </c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</row>
    <row r="417" spans="1:1030" x14ac:dyDescent="0.2">
      <c r="A417" s="3" t="str">
        <f t="shared" si="2960"/>
        <v>us28_hcmva_4XT1</v>
      </c>
      <c r="B417" s="3" t="s">
        <v>919</v>
      </c>
      <c r="C417" s="3" t="s">
        <v>1119</v>
      </c>
      <c r="D417" s="3" t="str">
        <f>IFERROR(MID(VLOOKUP($B417,Seqs!$A:$B,2,0),E417,1),"")</f>
        <v>F</v>
      </c>
      <c r="E417" s="105">
        <v>25</v>
      </c>
      <c r="F417" s="3" t="str">
        <f>IFERROR(MID(VLOOKUP($B417,Seqs!$A:$B,2,0),G417,1),"")</f>
        <v>R</v>
      </c>
      <c r="G417" s="3">
        <v>61</v>
      </c>
      <c r="H417" s="3" t="str">
        <f>IFERROR(MID(VLOOKUP($B417,Seqs!$A:$B,2,0),I417,1),"")</f>
        <v/>
      </c>
      <c r="I417" s="23" t="s">
        <v>23</v>
      </c>
      <c r="J417" s="3" t="str">
        <f>IFERROR(MID(VLOOKUP($B417,Seqs!$A:$B,2,0),K417,1),"")</f>
        <v/>
      </c>
      <c r="K417" s="23" t="s">
        <v>23</v>
      </c>
      <c r="L417" s="3" t="str">
        <f>IFERROR(MID(VLOOKUP($B417,Seqs!$A:$B,2,0),M417,1),"")</f>
        <v>C</v>
      </c>
      <c r="M417" s="3">
        <v>66</v>
      </c>
      <c r="N417" s="3" t="str">
        <f>IFERROR(MID(VLOOKUP($B417,Seqs!$A:$B,2,0),O417,1),"")</f>
        <v>D</v>
      </c>
      <c r="O417" s="3">
        <v>95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P</v>
      </c>
      <c r="U417" s="3">
        <v>103</v>
      </c>
      <c r="V417" s="3" t="str">
        <f>IFERROR(MID(VLOOKUP($B417,Seqs!$A:$B,2,0),W417,1),"")</f>
        <v>V</v>
      </c>
      <c r="W417" s="105">
        <v>134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P</v>
      </c>
      <c r="AC417" s="9">
        <v>140</v>
      </c>
      <c r="AD417" s="3" t="str">
        <f>IFERROR(MID(VLOOKUP($B417,Seqs!$A:$B,2,0),AE417,1),"")</f>
        <v>M</v>
      </c>
      <c r="AE417" s="105">
        <v>164</v>
      </c>
      <c r="AF417" s="3" t="str">
        <f>IFERROR(MID(VLOOKUP($B417,Seqs!$A:$B,2,0),AG417,1),"")</f>
        <v>C</v>
      </c>
      <c r="AG417" s="3">
        <v>173</v>
      </c>
      <c r="AH417" s="3" t="str">
        <f>IFERROR(MID(VLOOKUP($B417,Seqs!$A:$B,2,0),AI417,1),"")</f>
        <v>T</v>
      </c>
      <c r="AI417" s="3">
        <v>175</v>
      </c>
      <c r="AJ417" s="3" t="str">
        <f>IFERROR(MID(VLOOKUP($B417,Seqs!$A:$B,2,0),AK417,1),"")</f>
        <v>S</v>
      </c>
      <c r="AK417" s="105">
        <v>183</v>
      </c>
      <c r="AL417" s="3" t="str">
        <f>IFERROR(MID(VLOOKUP($B417,Seqs!$A:$B,2,0),AM417,1),"")</f>
        <v>S</v>
      </c>
      <c r="AM417" s="3">
        <v>218</v>
      </c>
      <c r="AN417" s="3" t="str">
        <f>IFERROR(MID(VLOOKUP($B417,Seqs!$A:$B,2,0),AO417,1),"")</f>
        <v>H</v>
      </c>
      <c r="AO417" s="3">
        <v>222</v>
      </c>
      <c r="AP417" s="3" t="str">
        <f>IFERROR(MID(VLOOKUP($B417,Seqs!$A:$B,2,0),AQ417,1),"")</f>
        <v>K</v>
      </c>
      <c r="AQ417" s="3">
        <v>257</v>
      </c>
      <c r="AR417" s="3" t="str">
        <f>IFERROR(MID(VLOOKUP($B417,Seqs!$A:$B,2,0),AS417,1),"")</f>
        <v>C</v>
      </c>
      <c r="AS417" s="3">
        <v>263</v>
      </c>
      <c r="AT417" s="3" t="str">
        <f>IFERROR(MID(VLOOKUP($B417,Seqs!$A:$B,2,0),AU417,1),"")</f>
        <v>V</v>
      </c>
      <c r="AU417" s="3">
        <v>294</v>
      </c>
      <c r="AV417" s="3" t="str">
        <f>IFERROR(MID(VLOOKUP($B417,Seqs!$A:$B,2,0),AW417,1),"")</f>
        <v>G</v>
      </c>
      <c r="AW417" s="3">
        <v>295</v>
      </c>
      <c r="AX417" s="3" t="str">
        <f>IFERROR(MID(VLOOKUP($B417,Seqs!$A:$B,2,0),AY417,1),"")</f>
        <v>R</v>
      </c>
      <c r="AY417" s="3">
        <v>310</v>
      </c>
      <c r="AZ417" s="77" t="str">
        <f>VLOOKUP(B417,Classification!A:D,2,0)</f>
        <v>A</v>
      </c>
      <c r="BA417" s="94" t="str">
        <f>VLOOKUP(B417,Classification!A:D,4,0)</f>
        <v>Chemokine</v>
      </c>
      <c r="BB417" s="27" t="b">
        <f t="shared" si="2961"/>
        <v>1</v>
      </c>
      <c r="BC417" s="23">
        <f t="shared" si="2934"/>
        <v>250</v>
      </c>
      <c r="BD417" s="4" t="s">
        <v>23</v>
      </c>
      <c r="BE417" s="3" t="s">
        <v>1287</v>
      </c>
      <c r="BF417" s="118">
        <v>2.89</v>
      </c>
      <c r="BG417" s="49" t="s">
        <v>1373</v>
      </c>
      <c r="BH417" s="49" t="s">
        <v>1373</v>
      </c>
      <c r="BI417" s="1"/>
      <c r="BJ417" s="70" t="s">
        <v>1283</v>
      </c>
      <c r="BK417" s="57" t="s">
        <v>1283</v>
      </c>
      <c r="BL417" s="57" t="s">
        <v>1283</v>
      </c>
      <c r="BM417" s="57" t="s">
        <v>1283</v>
      </c>
      <c r="BN417" s="57" t="s">
        <v>1283</v>
      </c>
      <c r="BO417" s="57" t="s">
        <v>1283</v>
      </c>
      <c r="BP417" s="57" t="s">
        <v>1283</v>
      </c>
      <c r="BQ417" s="57" t="s">
        <v>1283</v>
      </c>
      <c r="BR417" s="57" t="s">
        <v>1283</v>
      </c>
      <c r="BS417" s="57" t="s">
        <v>1283</v>
      </c>
      <c r="BT417" s="57" t="s">
        <v>1283</v>
      </c>
      <c r="BU417" s="57" t="s">
        <v>1283</v>
      </c>
      <c r="BV417" s="70">
        <f t="shared" si="2935"/>
        <v>25</v>
      </c>
      <c r="BW417" s="71" t="str">
        <f t="shared" si="2936"/>
        <v>-</v>
      </c>
      <c r="BX417" s="72">
        <f t="shared" si="2937"/>
        <v>66</v>
      </c>
      <c r="BY417" s="71" t="str">
        <f t="shared" si="2938"/>
        <v>-</v>
      </c>
      <c r="BZ417" s="72">
        <f t="shared" si="2939"/>
        <v>103</v>
      </c>
      <c r="CA417" s="71" t="str">
        <f t="shared" si="2940"/>
        <v>-</v>
      </c>
      <c r="CB417" s="72">
        <f t="shared" si="2941"/>
        <v>140</v>
      </c>
      <c r="CC417" s="71">
        <f t="shared" si="2942"/>
        <v>173</v>
      </c>
      <c r="CD417" s="72">
        <f t="shared" si="2943"/>
        <v>183</v>
      </c>
      <c r="CE417" s="71">
        <f t="shared" si="2944"/>
        <v>222</v>
      </c>
      <c r="CF417" s="72">
        <f t="shared" si="2945"/>
        <v>263</v>
      </c>
      <c r="CG417" s="71">
        <f t="shared" si="2946"/>
        <v>295</v>
      </c>
      <c r="CH417" s="70">
        <f t="shared" si="2947"/>
        <v>61</v>
      </c>
      <c r="CI417" s="71" t="str">
        <f t="shared" si="2948"/>
        <v>-</v>
      </c>
      <c r="CJ417" s="72">
        <f t="shared" si="2949"/>
        <v>95</v>
      </c>
      <c r="CK417" s="72" t="str">
        <f t="shared" si="2950"/>
        <v>-</v>
      </c>
      <c r="CL417" s="72">
        <f t="shared" si="2951"/>
        <v>134</v>
      </c>
      <c r="CM417" s="72" t="str">
        <f t="shared" si="2952"/>
        <v>-</v>
      </c>
      <c r="CN417" s="72">
        <f t="shared" si="2953"/>
        <v>164</v>
      </c>
      <c r="CO417" s="72">
        <f t="shared" si="2954"/>
        <v>175</v>
      </c>
      <c r="CP417" s="72">
        <f t="shared" si="2955"/>
        <v>218</v>
      </c>
      <c r="CQ417" s="72">
        <f t="shared" si="2956"/>
        <v>257</v>
      </c>
      <c r="CR417" s="72">
        <f t="shared" si="2957"/>
        <v>294</v>
      </c>
      <c r="CS417" s="72">
        <f t="shared" si="2958"/>
        <v>310</v>
      </c>
      <c r="CT417" s="23" t="e">
        <f t="shared" si="2959"/>
        <v>#VALUE!</v>
      </c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  <c r="AMK417" s="1"/>
      <c r="AML417" s="1"/>
      <c r="AMM417" s="1"/>
      <c r="AMN417" s="1"/>
      <c r="AMO417" s="1"/>
    </row>
    <row r="418" spans="1:1030" x14ac:dyDescent="0.2">
      <c r="A418" s="3" t="str">
        <f t="shared" si="2960"/>
        <v>us28_hcmva_4XT3</v>
      </c>
      <c r="B418" s="2" t="s">
        <v>919</v>
      </c>
      <c r="C418" s="3" t="s">
        <v>1367</v>
      </c>
      <c r="D418" s="3" t="str">
        <f>IFERROR(MID(VLOOKUP($B418,Seqs!$A:$B,2,0),E418,1),"")</f>
        <v>F</v>
      </c>
      <c r="E418" s="105">
        <v>25</v>
      </c>
      <c r="F418" s="3" t="str">
        <f>IFERROR(MID(VLOOKUP($B418,Seqs!$A:$B,2,0),G418,1),"")</f>
        <v>R</v>
      </c>
      <c r="G418" s="105">
        <v>62</v>
      </c>
      <c r="H418" s="3" t="str">
        <f>IFERROR(MID(VLOOKUP($B418,Seqs!$A:$B,2,0),I418,1),"")</f>
        <v/>
      </c>
      <c r="I418" s="23" t="s">
        <v>23</v>
      </c>
      <c r="J418" s="3" t="str">
        <f>IFERROR(MID(VLOOKUP($B418,Seqs!$A:$B,2,0),K418,1),"")</f>
        <v/>
      </c>
      <c r="K418" s="23" t="s">
        <v>23</v>
      </c>
      <c r="L418" s="3" t="str">
        <f>IFERROR(MID(VLOOKUP($B418,Seqs!$A:$B,2,0),M418,1),"")</f>
        <v>C</v>
      </c>
      <c r="M418" s="3">
        <v>66</v>
      </c>
      <c r="N418" s="3" t="str">
        <f>IFERROR(MID(VLOOKUP($B418,Seqs!$A:$B,2,0),O418,1),"")</f>
        <v>D</v>
      </c>
      <c r="O418" s="3">
        <v>95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P</v>
      </c>
      <c r="U418" s="3">
        <v>103</v>
      </c>
      <c r="V418" s="3" t="str">
        <f>IFERROR(MID(VLOOKUP($B418,Seqs!$A:$B,2,0),W418,1),"")</f>
        <v>V</v>
      </c>
      <c r="W418" s="105">
        <v>134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P</v>
      </c>
      <c r="AC418" s="9">
        <v>140</v>
      </c>
      <c r="AD418" s="3" t="str">
        <f>IFERROR(MID(VLOOKUP($B418,Seqs!$A:$B,2,0),AE418,1),"")</f>
        <v>M</v>
      </c>
      <c r="AE418" s="105">
        <v>164</v>
      </c>
      <c r="AF418" s="3" t="str">
        <f>IFERROR(MID(VLOOKUP($B418,Seqs!$A:$B,2,0),AG418,1),"")</f>
        <v>C</v>
      </c>
      <c r="AG418" s="3">
        <v>173</v>
      </c>
      <c r="AH418" s="3" t="str">
        <f>IFERROR(MID(VLOOKUP($B418,Seqs!$A:$B,2,0),AI418,1),"")</f>
        <v>T</v>
      </c>
      <c r="AI418" s="3">
        <v>175</v>
      </c>
      <c r="AJ418" s="3" t="str">
        <f>IFERROR(MID(VLOOKUP($B418,Seqs!$A:$B,2,0),AK418,1),"")</f>
        <v>S</v>
      </c>
      <c r="AK418" s="105">
        <v>183</v>
      </c>
      <c r="AL418" s="3" t="str">
        <f>IFERROR(MID(VLOOKUP($B418,Seqs!$A:$B,2,0),AM418,1),"")</f>
        <v>S</v>
      </c>
      <c r="AM418" s="3">
        <v>218</v>
      </c>
      <c r="AN418" s="3" t="str">
        <f>IFERROR(MID(VLOOKUP($B418,Seqs!$A:$B,2,0),AO418,1),"")</f>
        <v>H</v>
      </c>
      <c r="AO418" s="3">
        <v>222</v>
      </c>
      <c r="AP418" s="3" t="str">
        <f>IFERROR(MID(VLOOKUP($B418,Seqs!$A:$B,2,0),AQ418,1),"")</f>
        <v>K</v>
      </c>
      <c r="AQ418" s="3">
        <v>257</v>
      </c>
      <c r="AR418" s="3" t="str">
        <f>IFERROR(MID(VLOOKUP($B418,Seqs!$A:$B,2,0),AS418,1),"")</f>
        <v>C</v>
      </c>
      <c r="AS418" s="3">
        <v>263</v>
      </c>
      <c r="AT418" s="3" t="str">
        <f>IFERROR(MID(VLOOKUP($B418,Seqs!$A:$B,2,0),AU418,1),"")</f>
        <v>V</v>
      </c>
      <c r="AU418" s="3">
        <v>294</v>
      </c>
      <c r="AV418" s="3" t="str">
        <f>IFERROR(MID(VLOOKUP($B418,Seqs!$A:$B,2,0),AW418,1),"")</f>
        <v/>
      </c>
      <c r="AW418" s="3" t="s">
        <v>23</v>
      </c>
      <c r="AX418" s="3" t="str">
        <f>IFERROR(MID(VLOOKUP($B418,Seqs!$A:$B,2,0),AY418,1),"")</f>
        <v/>
      </c>
      <c r="AY418" s="3" t="s">
        <v>23</v>
      </c>
      <c r="AZ418" s="77" t="str">
        <f>VLOOKUP(B418,Classification!A:D,2,0)</f>
        <v>A</v>
      </c>
      <c r="BA418" s="94" t="str">
        <f>VLOOKUP(B418,Classification!A:D,4,0)</f>
        <v>Chemokine</v>
      </c>
      <c r="BB418" s="27" t="b">
        <f t="shared" ref="BB418:BB426" si="3858">AND(E418&lt;G418,OR(G418&lt;I418,I418="-"),OR(I418&lt;K418,I418="-"),OR(K418&lt;M418,K418="-"),M418&lt;O418,OR(O418&lt;Q418,Q418="-"),OR(Q418&lt;S418,Q418="-"),OR(S418&lt;U418,S418="-"),U418&lt;W418,OR(W418&lt;Y418,Y418="-"),OR(Y418&lt;AA418,Y418="-"),OR(AA418&lt;AC418,AA418="-"),AC418&lt;AE418,OR(AE418&lt;AG418,AG418="-"),OR(AG418&lt;AI418,AG418="-"),OR(AI418&lt;AK418,AI418="-"),AK418&lt;AM418,AM418&lt;AO418,AO418&lt;AQ418,AQ418&lt;AS418,AS418&lt;AU418,OR(AU418&lt;AW418,AW418="-"),OR(AW418&lt;AY418,AW418="-"))</f>
        <v>1</v>
      </c>
      <c r="BC418" s="23">
        <f t="shared" ref="BC418:BC426" si="3859">_xlfn.AGGREGATE(9,6,CH418:CS418)-_xlfn.AGGREGATE(9,6,BV418:CG418)+12</f>
        <v>236</v>
      </c>
      <c r="BD418" s="4" t="s">
        <v>23</v>
      </c>
      <c r="BE418" s="3" t="s">
        <v>1287</v>
      </c>
      <c r="BF418" s="118">
        <v>3.8</v>
      </c>
      <c r="BG418" s="49" t="s">
        <v>1373</v>
      </c>
      <c r="BH418" s="49" t="s">
        <v>1373</v>
      </c>
      <c r="BI418" s="1"/>
      <c r="BJ418" s="70" t="s">
        <v>1283</v>
      </c>
      <c r="BK418" s="57" t="s">
        <v>1283</v>
      </c>
      <c r="BL418" s="57" t="s">
        <v>1283</v>
      </c>
      <c r="BM418" s="57" t="s">
        <v>1283</v>
      </c>
      <c r="BN418" s="57" t="s">
        <v>1283</v>
      </c>
      <c r="BO418" s="57" t="s">
        <v>1283</v>
      </c>
      <c r="BP418" s="57" t="s">
        <v>1283</v>
      </c>
      <c r="BQ418" s="57" t="s">
        <v>1283</v>
      </c>
      <c r="BR418" s="57" t="s">
        <v>1283</v>
      </c>
      <c r="BS418" s="57" t="s">
        <v>1283</v>
      </c>
      <c r="BT418" s="57" t="s">
        <v>1283</v>
      </c>
      <c r="BU418" s="57" t="s">
        <v>1283</v>
      </c>
      <c r="BV418" s="70">
        <f t="shared" ref="BV418:BV426" si="3860">E418</f>
        <v>25</v>
      </c>
      <c r="BW418" s="71" t="str">
        <f t="shared" ref="BW418:BW426" si="3861">I418</f>
        <v>-</v>
      </c>
      <c r="BX418" s="72">
        <f t="shared" ref="BX418:BX426" si="3862">M418</f>
        <v>66</v>
      </c>
      <c r="BY418" s="71" t="str">
        <f t="shared" ref="BY418:BY426" si="3863">Q418</f>
        <v>-</v>
      </c>
      <c r="BZ418" s="72">
        <f t="shared" ref="BZ418:BZ426" si="3864">U418</f>
        <v>103</v>
      </c>
      <c r="CA418" s="71" t="str">
        <f t="shared" ref="CA418:CA426" si="3865">Y418</f>
        <v>-</v>
      </c>
      <c r="CB418" s="72">
        <f t="shared" ref="CB418:CB426" si="3866">AC418</f>
        <v>140</v>
      </c>
      <c r="CC418" s="71">
        <f t="shared" ref="CC418:CC426" si="3867">AG418</f>
        <v>173</v>
      </c>
      <c r="CD418" s="72">
        <f t="shared" ref="CD418:CD426" si="3868">AK418</f>
        <v>183</v>
      </c>
      <c r="CE418" s="71">
        <f t="shared" ref="CE418:CE426" si="3869">AO418</f>
        <v>222</v>
      </c>
      <c r="CF418" s="72">
        <f t="shared" ref="CF418:CF426" si="3870">AS418</f>
        <v>263</v>
      </c>
      <c r="CG418" s="71" t="str">
        <f t="shared" ref="CG418:CG426" si="3871">AW418</f>
        <v>-</v>
      </c>
      <c r="CH418" s="70">
        <f t="shared" ref="CH418:CH426" si="3872">G418</f>
        <v>62</v>
      </c>
      <c r="CI418" s="71" t="str">
        <f t="shared" ref="CI418:CI426" si="3873">K418</f>
        <v>-</v>
      </c>
      <c r="CJ418" s="72">
        <f t="shared" ref="CJ418:CJ426" si="3874">O418</f>
        <v>95</v>
      </c>
      <c r="CK418" s="72" t="str">
        <f t="shared" ref="CK418:CK426" si="3875">S418</f>
        <v>-</v>
      </c>
      <c r="CL418" s="72">
        <f t="shared" ref="CL418:CL426" si="3876">W418</f>
        <v>134</v>
      </c>
      <c r="CM418" s="72" t="str">
        <f t="shared" ref="CM418:CM426" si="3877">AA418</f>
        <v>-</v>
      </c>
      <c r="CN418" s="72">
        <f t="shared" ref="CN418:CN426" si="3878">AE418</f>
        <v>164</v>
      </c>
      <c r="CO418" s="72">
        <f t="shared" ref="CO418:CO426" si="3879">AI418</f>
        <v>175</v>
      </c>
      <c r="CP418" s="72">
        <f t="shared" ref="CP418:CP426" si="3880">AM418</f>
        <v>218</v>
      </c>
      <c r="CQ418" s="72">
        <f t="shared" ref="CQ418:CQ426" si="3881">AQ418</f>
        <v>257</v>
      </c>
      <c r="CR418" s="72">
        <f t="shared" ref="CR418:CR426" si="3882">AU418</f>
        <v>294</v>
      </c>
      <c r="CS418" s="72" t="str">
        <f t="shared" ref="CS418:CS426" si="3883">AY418</f>
        <v>-</v>
      </c>
      <c r="CT418" s="23" t="e">
        <f t="shared" ref="CT418:CT426" si="3884">M418-K418</f>
        <v>#VALUE!</v>
      </c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6"/>
      <c r="ACQ418" s="6"/>
      <c r="ACR418" s="6"/>
      <c r="ACS418" s="6"/>
      <c r="ACT418" s="6"/>
      <c r="ACU418" s="6"/>
      <c r="ACV418" s="6"/>
      <c r="ACW418" s="6"/>
      <c r="ACX418" s="6"/>
      <c r="ACY418" s="6"/>
      <c r="ACZ418" s="6"/>
      <c r="ADA418" s="6"/>
      <c r="ADB418" s="6"/>
      <c r="ADC418" s="6"/>
      <c r="ADD418" s="6"/>
      <c r="ADE418" s="6"/>
      <c r="ADF418" s="6"/>
      <c r="ADG418" s="6"/>
      <c r="ADH418" s="6"/>
      <c r="ADI418" s="6"/>
      <c r="ADJ418" s="6"/>
      <c r="ADK418" s="6"/>
      <c r="ADL418" s="6"/>
      <c r="ADM418" s="6"/>
      <c r="ADN418" s="6"/>
      <c r="ADO418" s="6"/>
      <c r="ADP418" s="6"/>
      <c r="ADQ418" s="6"/>
      <c r="ADR418" s="6"/>
      <c r="ADS418" s="6"/>
      <c r="ADT418" s="6"/>
      <c r="ADU418" s="6"/>
      <c r="ADV418" s="6"/>
      <c r="ADW418" s="6"/>
      <c r="ADX418" s="6"/>
      <c r="ADY418" s="6"/>
      <c r="ADZ418" s="6"/>
      <c r="AEA418" s="6"/>
      <c r="AEB418" s="6"/>
      <c r="AEC418" s="6"/>
      <c r="AED418" s="6"/>
      <c r="AEE418" s="6"/>
      <c r="AEF418" s="6"/>
      <c r="AEG418" s="6"/>
      <c r="AEH418" s="6"/>
      <c r="AEI418" s="6"/>
      <c r="AEJ418" s="6"/>
      <c r="AEK418" s="6"/>
      <c r="AEL418" s="6"/>
      <c r="AEM418" s="6"/>
      <c r="AEN418" s="6"/>
      <c r="AEO418" s="6"/>
      <c r="AEP418" s="6"/>
      <c r="AEQ418" s="6"/>
      <c r="AER418" s="6"/>
      <c r="AES418" s="6"/>
      <c r="AET418" s="6"/>
      <c r="AEU418" s="6"/>
      <c r="AEV418" s="6"/>
      <c r="AEW418" s="6"/>
      <c r="AEX418" s="6"/>
      <c r="AEY418" s="6"/>
      <c r="AEZ418" s="6"/>
      <c r="AFA418" s="6"/>
      <c r="AFB418" s="6"/>
      <c r="AFC418" s="6"/>
      <c r="AFD418" s="6"/>
      <c r="AFE418" s="6"/>
      <c r="AFF418" s="6"/>
      <c r="AFG418" s="6"/>
      <c r="AFH418" s="6"/>
      <c r="AFI418" s="6"/>
      <c r="AFJ418" s="6"/>
      <c r="AFK418" s="6"/>
      <c r="AFL418" s="6"/>
      <c r="AFM418" s="6"/>
      <c r="AFN418" s="6"/>
      <c r="AFO418" s="6"/>
      <c r="AFP418" s="6"/>
      <c r="AFQ418" s="6"/>
      <c r="AFR418" s="6"/>
      <c r="AFS418" s="6"/>
      <c r="AFT418" s="6"/>
      <c r="AFU418" s="6"/>
      <c r="AFV418" s="6"/>
      <c r="AFW418" s="6"/>
      <c r="AFX418" s="6"/>
      <c r="AFY418" s="6"/>
      <c r="AFZ418" s="6"/>
      <c r="AGA418" s="6"/>
      <c r="AGB418" s="6"/>
      <c r="AGC418" s="6"/>
      <c r="AGD418" s="6"/>
      <c r="AGE418" s="6"/>
      <c r="AGF418" s="6"/>
      <c r="AGG418" s="6"/>
      <c r="AGH418" s="6"/>
      <c r="AGI418" s="6"/>
      <c r="AGJ418" s="6"/>
      <c r="AGK418" s="6"/>
      <c r="AGL418" s="6"/>
      <c r="AGM418" s="6"/>
      <c r="AGN418" s="6"/>
      <c r="AGO418" s="6"/>
      <c r="AGP418" s="6"/>
      <c r="AGQ418" s="6"/>
      <c r="AGR418" s="6"/>
      <c r="AGS418" s="6"/>
      <c r="AGT418" s="6"/>
      <c r="AGU418" s="6"/>
      <c r="AGV418" s="6"/>
      <c r="AGW418" s="6"/>
      <c r="AGX418" s="6"/>
      <c r="AGY418" s="6"/>
      <c r="AGZ418" s="6"/>
      <c r="AHA418" s="6"/>
      <c r="AHB418" s="6"/>
      <c r="AHC418" s="6"/>
      <c r="AHD418" s="6"/>
      <c r="AHE418" s="6"/>
      <c r="AHF418" s="6"/>
      <c r="AHG418" s="6"/>
      <c r="AHH418" s="6"/>
      <c r="AHI418" s="6"/>
      <c r="AHJ418" s="6"/>
      <c r="AHK418" s="6"/>
      <c r="AHL418" s="6"/>
      <c r="AHM418" s="6"/>
      <c r="AHN418" s="6"/>
      <c r="AHO418" s="6"/>
      <c r="AHP418" s="6"/>
      <c r="AHQ418" s="6"/>
      <c r="AHR418" s="6"/>
      <c r="AHS418" s="6"/>
      <c r="AHT418" s="6"/>
      <c r="AHU418" s="6"/>
      <c r="AHV418" s="6"/>
      <c r="AHW418" s="6"/>
      <c r="AHX418" s="6"/>
      <c r="AHY418" s="6"/>
      <c r="AHZ418" s="6"/>
      <c r="AIA418" s="6"/>
      <c r="AIB418" s="6"/>
      <c r="AIC418" s="6"/>
      <c r="AID418" s="6"/>
      <c r="AIE418" s="6"/>
      <c r="AIF418" s="6"/>
      <c r="AIG418" s="6"/>
      <c r="AIH418" s="6"/>
      <c r="AII418" s="6"/>
      <c r="AIJ418" s="6"/>
      <c r="AIK418" s="6"/>
      <c r="AIL418" s="6"/>
      <c r="AIM418" s="6"/>
      <c r="AIN418" s="6"/>
      <c r="AIO418" s="6"/>
      <c r="AIP418" s="6"/>
      <c r="AIQ418" s="6"/>
      <c r="AIR418" s="6"/>
      <c r="AIS418" s="6"/>
      <c r="AIT418" s="6"/>
      <c r="AIU418" s="6"/>
      <c r="AIV418" s="6"/>
      <c r="AIW418" s="6"/>
      <c r="AIX418" s="6"/>
      <c r="AIY418" s="6"/>
      <c r="AIZ418" s="6"/>
      <c r="AJA418" s="6"/>
      <c r="AJB418" s="6"/>
      <c r="AJC418" s="6"/>
      <c r="AJD418" s="6"/>
      <c r="AJE418" s="6"/>
      <c r="AJF418" s="6"/>
      <c r="AJG418" s="6"/>
      <c r="AJH418" s="6"/>
      <c r="AJI418" s="6"/>
      <c r="AJJ418" s="6"/>
      <c r="AJK418" s="6"/>
      <c r="AJL418" s="6"/>
      <c r="AJM418" s="6"/>
      <c r="AJN418" s="6"/>
      <c r="AJO418" s="6"/>
      <c r="AJP418" s="6"/>
      <c r="AJQ418" s="6"/>
      <c r="AJR418" s="6"/>
      <c r="AJS418" s="6"/>
      <c r="AJT418" s="6"/>
      <c r="AJU418" s="6"/>
      <c r="AJV418" s="6"/>
      <c r="AJW418" s="6"/>
      <c r="AJX418" s="6"/>
      <c r="AJY418" s="6"/>
      <c r="AJZ418" s="6"/>
      <c r="AKA418" s="6"/>
      <c r="AKB418" s="6"/>
      <c r="AKC418" s="6"/>
      <c r="AKD418" s="6"/>
      <c r="AKE418" s="6"/>
      <c r="AKF418" s="6"/>
      <c r="AKG418" s="6"/>
      <c r="AKH418" s="6"/>
      <c r="AKI418" s="6"/>
      <c r="AKJ418" s="6"/>
      <c r="AKK418" s="6"/>
      <c r="AKL418" s="6"/>
      <c r="AKM418" s="6"/>
      <c r="AKN418" s="6"/>
      <c r="AKO418" s="6"/>
      <c r="AKP418" s="6"/>
      <c r="AKQ418" s="6"/>
      <c r="AKR418" s="6"/>
      <c r="AKS418" s="6"/>
      <c r="AKT418" s="6"/>
      <c r="AKU418" s="6"/>
      <c r="AKV418" s="6"/>
      <c r="AKW418" s="6"/>
      <c r="AKX418" s="6"/>
      <c r="AKY418" s="6"/>
      <c r="AKZ418" s="6"/>
      <c r="ALA418" s="6"/>
      <c r="ALB418" s="6"/>
      <c r="ALC418" s="6"/>
      <c r="ALD418" s="6"/>
      <c r="ALE418" s="6"/>
      <c r="ALF418" s="6"/>
      <c r="ALG418" s="6"/>
      <c r="ALH418" s="6"/>
      <c r="ALI418" s="6"/>
      <c r="ALJ418" s="6"/>
      <c r="ALK418" s="6"/>
      <c r="ALL418" s="6"/>
      <c r="ALM418" s="6"/>
      <c r="ALN418" s="6"/>
      <c r="ALO418" s="6"/>
      <c r="ALP418" s="6"/>
      <c r="ALQ418" s="6"/>
      <c r="ALR418" s="6"/>
      <c r="ALS418" s="6"/>
      <c r="ALT418" s="6"/>
      <c r="ALU418" s="6"/>
      <c r="ALV418" s="6"/>
      <c r="ALW418" s="6"/>
      <c r="ALX418" s="6"/>
      <c r="ALY418" s="6"/>
      <c r="ALZ418" s="6"/>
      <c r="AMA418" s="6"/>
      <c r="AMB418" s="6"/>
      <c r="AMC418" s="6"/>
      <c r="AMD418" s="6"/>
      <c r="AME418" s="6"/>
      <c r="AMF418" s="6"/>
      <c r="AMG418" s="6"/>
      <c r="AMH418" s="6"/>
      <c r="AMI418" s="6"/>
      <c r="AMJ418" s="6"/>
      <c r="AMK418" s="6"/>
      <c r="AML418" s="6"/>
      <c r="AMM418" s="6"/>
      <c r="AMN418" s="6"/>
      <c r="AMO418" s="6"/>
      <c r="AMP418" s="6"/>
    </row>
    <row r="419" spans="1:1030" x14ac:dyDescent="0.2">
      <c r="A419" s="3" t="str">
        <f t="shared" ref="A419:A429" si="3885">CONCATENATE(B419,"_",C419)</f>
        <v>q80km9_hcmv__wt</v>
      </c>
      <c r="B419" s="2" t="s">
        <v>1503</v>
      </c>
      <c r="C419" s="3" t="s">
        <v>100</v>
      </c>
      <c r="D419" s="3" t="str">
        <f>IFERROR(MID(VLOOKUP($B419,Seqs!$A:$B,2,0),E419,1),"")</f>
        <v>F</v>
      </c>
      <c r="E419" s="3">
        <v>25</v>
      </c>
      <c r="F419" s="3" t="str">
        <f>IFERROR(MID(VLOOKUP($B419,Seqs!$A:$B,2,0),G419,1),"")</f>
        <v>R</v>
      </c>
      <c r="G419" s="3">
        <v>61</v>
      </c>
      <c r="H419" s="3" t="str">
        <f>IFERROR(MID(VLOOKUP($B419,Seqs!$A:$B,2,0),I419,1),"")</f>
        <v>R</v>
      </c>
      <c r="I419" s="23">
        <v>62</v>
      </c>
      <c r="J419" s="3" t="str">
        <f>IFERROR(MID(VLOOKUP($B419,Seqs!$A:$B,2,0),K419,1),"")</f>
        <v>Q</v>
      </c>
      <c r="K419" s="23">
        <v>65</v>
      </c>
      <c r="L419" s="3" t="str">
        <f>IFERROR(MID(VLOOKUP($B419,Seqs!$A:$B,2,0),M419,1),"")</f>
        <v>C</v>
      </c>
      <c r="M419" s="3">
        <v>66</v>
      </c>
      <c r="N419" s="3" t="str">
        <f>IFERROR(MID(VLOOKUP($B419,Seqs!$A:$B,2,0),O419,1),"")</f>
        <v>D</v>
      </c>
      <c r="O419" s="3">
        <v>95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A</v>
      </c>
      <c r="U419" s="3">
        <v>100</v>
      </c>
      <c r="V419" s="3" t="str">
        <f>IFERROR(MID(VLOOKUP($B419,Seqs!$A:$B,2,0),W419,1),"")</f>
        <v>V</v>
      </c>
      <c r="W419" s="3">
        <v>134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P</v>
      </c>
      <c r="AC419" s="3">
        <v>140</v>
      </c>
      <c r="AD419" s="3" t="str">
        <f>IFERROR(MID(VLOOKUP($B419,Seqs!$A:$B,2,0),AE419,1),"")</f>
        <v>M</v>
      </c>
      <c r="AE419" s="3">
        <v>164</v>
      </c>
      <c r="AF419" s="3" t="str">
        <f>IFERROR(MID(VLOOKUP($B419,Seqs!$A:$B,2,0),AG419,1),"")</f>
        <v>C</v>
      </c>
      <c r="AG419" s="3">
        <v>173</v>
      </c>
      <c r="AH419" s="3" t="str">
        <f>IFERROR(MID(VLOOKUP($B419,Seqs!$A:$B,2,0),AI419,1),"")</f>
        <v>T</v>
      </c>
      <c r="AI419" s="3">
        <v>175</v>
      </c>
      <c r="AJ419" s="3" t="str">
        <f>IFERROR(MID(VLOOKUP($B419,Seqs!$A:$B,2,0),AK419,1),"")</f>
        <v>S</v>
      </c>
      <c r="AK419" s="3">
        <v>183</v>
      </c>
      <c r="AL419" s="3" t="str">
        <f>IFERROR(MID(VLOOKUP($B419,Seqs!$A:$B,2,0),AM419,1),"")</f>
        <v>S</v>
      </c>
      <c r="AM419" s="3">
        <v>218</v>
      </c>
      <c r="AN419" s="3" t="str">
        <f>IFERROR(MID(VLOOKUP($B419,Seqs!$A:$B,2,0),AO419,1),"")</f>
        <v>H</v>
      </c>
      <c r="AO419" s="3">
        <v>222</v>
      </c>
      <c r="AP419" s="3" t="str">
        <f>IFERROR(MID(VLOOKUP($B419,Seqs!$A:$B,2,0),AQ419,1),"")</f>
        <v>K</v>
      </c>
      <c r="AQ419" s="3">
        <v>257</v>
      </c>
      <c r="AR419" s="3" t="str">
        <f>IFERROR(MID(VLOOKUP($B419,Seqs!$A:$B,2,0),AS419,1),"")</f>
        <v>S</v>
      </c>
      <c r="AS419" s="3">
        <v>262</v>
      </c>
      <c r="AT419" s="3" t="str">
        <f>IFERROR(MID(VLOOKUP($B419,Seqs!$A:$B,2,0),AU419,1),"")</f>
        <v>V</v>
      </c>
      <c r="AU419" s="3">
        <v>294</v>
      </c>
      <c r="AV419" s="3" t="str">
        <f>IFERROR(MID(VLOOKUP($B419,Seqs!$A:$B,2,0),AW419,1),"")</f>
        <v>G</v>
      </c>
      <c r="AW419" s="3">
        <v>295</v>
      </c>
      <c r="AX419" s="3" t="str">
        <f>IFERROR(MID(VLOOKUP($B419,Seqs!$A:$B,2,0),AY419,1),"")</f>
        <v>R</v>
      </c>
      <c r="AY419" s="3">
        <v>310</v>
      </c>
      <c r="AZ419" s="77" t="str">
        <f>VLOOKUP(B419,Classification!A:D,2,0)</f>
        <v>A</v>
      </c>
      <c r="BA419" s="94" t="str">
        <f>VLOOKUP(B419,Classification!A:D,4,0)</f>
        <v>Chemokine</v>
      </c>
      <c r="BB419" s="27" t="b">
        <f t="shared" si="3858"/>
        <v>1</v>
      </c>
      <c r="BC419" s="23">
        <f t="shared" si="3859"/>
        <v>257</v>
      </c>
      <c r="BD419" s="4" t="s">
        <v>23</v>
      </c>
      <c r="BE419" s="3" t="s">
        <v>23</v>
      </c>
      <c r="BF419" s="118" t="s">
        <v>23</v>
      </c>
      <c r="BG419" s="49" t="s">
        <v>1373</v>
      </c>
      <c r="BH419" s="49" t="s">
        <v>1373</v>
      </c>
      <c r="BI419" s="1"/>
      <c r="BJ419" s="70" t="s">
        <v>1283</v>
      </c>
      <c r="BK419" s="57" t="s">
        <v>1283</v>
      </c>
      <c r="BL419" s="57" t="s">
        <v>1283</v>
      </c>
      <c r="BM419" s="57" t="s">
        <v>1283</v>
      </c>
      <c r="BN419" s="57" t="s">
        <v>1283</v>
      </c>
      <c r="BO419" s="57" t="s">
        <v>1283</v>
      </c>
      <c r="BP419" s="57" t="s">
        <v>1283</v>
      </c>
      <c r="BQ419" s="57" t="s">
        <v>1283</v>
      </c>
      <c r="BR419" s="57" t="s">
        <v>1283</v>
      </c>
      <c r="BS419" s="57" t="s">
        <v>1283</v>
      </c>
      <c r="BT419" s="57" t="s">
        <v>1283</v>
      </c>
      <c r="BU419" s="57" t="s">
        <v>1283</v>
      </c>
      <c r="BV419" s="70">
        <f t="shared" si="3860"/>
        <v>25</v>
      </c>
      <c r="BW419" s="71">
        <f t="shared" si="3861"/>
        <v>62</v>
      </c>
      <c r="BX419" s="72">
        <f t="shared" si="3862"/>
        <v>66</v>
      </c>
      <c r="BY419" s="71" t="str">
        <f t="shared" si="3863"/>
        <v>-</v>
      </c>
      <c r="BZ419" s="72">
        <f t="shared" si="3864"/>
        <v>100</v>
      </c>
      <c r="CA419" s="71" t="str">
        <f t="shared" si="3865"/>
        <v>-</v>
      </c>
      <c r="CB419" s="72">
        <f t="shared" si="3866"/>
        <v>140</v>
      </c>
      <c r="CC419" s="71">
        <f t="shared" si="3867"/>
        <v>173</v>
      </c>
      <c r="CD419" s="72">
        <f t="shared" si="3868"/>
        <v>183</v>
      </c>
      <c r="CE419" s="71">
        <f t="shared" si="3869"/>
        <v>222</v>
      </c>
      <c r="CF419" s="72">
        <f t="shared" si="3870"/>
        <v>262</v>
      </c>
      <c r="CG419" s="71">
        <f t="shared" si="3871"/>
        <v>295</v>
      </c>
      <c r="CH419" s="70">
        <f t="shared" si="3872"/>
        <v>61</v>
      </c>
      <c r="CI419" s="71">
        <f t="shared" si="3873"/>
        <v>65</v>
      </c>
      <c r="CJ419" s="72">
        <f t="shared" si="3874"/>
        <v>95</v>
      </c>
      <c r="CK419" s="72" t="str">
        <f t="shared" si="3875"/>
        <v>-</v>
      </c>
      <c r="CL419" s="72">
        <f t="shared" si="3876"/>
        <v>134</v>
      </c>
      <c r="CM419" s="72" t="str">
        <f t="shared" si="3877"/>
        <v>-</v>
      </c>
      <c r="CN419" s="72">
        <f t="shared" si="3878"/>
        <v>164</v>
      </c>
      <c r="CO419" s="72">
        <f t="shared" si="3879"/>
        <v>175</v>
      </c>
      <c r="CP419" s="72">
        <f t="shared" si="3880"/>
        <v>218</v>
      </c>
      <c r="CQ419" s="72">
        <f t="shared" si="3881"/>
        <v>257</v>
      </c>
      <c r="CR419" s="72">
        <f t="shared" si="3882"/>
        <v>294</v>
      </c>
      <c r="CS419" s="72">
        <f t="shared" si="3883"/>
        <v>310</v>
      </c>
      <c r="CT419" s="23">
        <f t="shared" si="3884"/>
        <v>1</v>
      </c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6"/>
      <c r="ACQ419" s="6"/>
      <c r="ACR419" s="6"/>
      <c r="ACS419" s="6"/>
      <c r="ACT419" s="6"/>
      <c r="ACU419" s="6"/>
      <c r="ACV419" s="6"/>
      <c r="ACW419" s="6"/>
      <c r="ACX419" s="6"/>
      <c r="ACY419" s="6"/>
      <c r="ACZ419" s="6"/>
      <c r="ADA419" s="6"/>
      <c r="ADB419" s="6"/>
      <c r="ADC419" s="6"/>
      <c r="ADD419" s="6"/>
      <c r="ADE419" s="6"/>
      <c r="ADF419" s="6"/>
      <c r="ADG419" s="6"/>
      <c r="ADH419" s="6"/>
      <c r="ADI419" s="6"/>
      <c r="ADJ419" s="6"/>
      <c r="ADK419" s="6"/>
      <c r="ADL419" s="6"/>
      <c r="ADM419" s="6"/>
      <c r="ADN419" s="6"/>
      <c r="ADO419" s="6"/>
      <c r="ADP419" s="6"/>
      <c r="ADQ419" s="6"/>
      <c r="ADR419" s="6"/>
      <c r="ADS419" s="6"/>
      <c r="ADT419" s="6"/>
      <c r="ADU419" s="6"/>
      <c r="ADV419" s="6"/>
      <c r="ADW419" s="6"/>
      <c r="ADX419" s="6"/>
      <c r="ADY419" s="6"/>
      <c r="ADZ419" s="6"/>
      <c r="AEA419" s="6"/>
      <c r="AEB419" s="6"/>
      <c r="AEC419" s="6"/>
      <c r="AED419" s="6"/>
      <c r="AEE419" s="6"/>
      <c r="AEF419" s="6"/>
      <c r="AEG419" s="6"/>
      <c r="AEH419" s="6"/>
      <c r="AEI419" s="6"/>
      <c r="AEJ419" s="6"/>
      <c r="AEK419" s="6"/>
      <c r="AEL419" s="6"/>
      <c r="AEM419" s="6"/>
      <c r="AEN419" s="6"/>
      <c r="AEO419" s="6"/>
      <c r="AEP419" s="6"/>
      <c r="AEQ419" s="6"/>
      <c r="AER419" s="6"/>
      <c r="AES419" s="6"/>
      <c r="AET419" s="6"/>
      <c r="AEU419" s="6"/>
      <c r="AEV419" s="6"/>
      <c r="AEW419" s="6"/>
      <c r="AEX419" s="6"/>
      <c r="AEY419" s="6"/>
      <c r="AEZ419" s="6"/>
      <c r="AFA419" s="6"/>
      <c r="AFB419" s="6"/>
      <c r="AFC419" s="6"/>
      <c r="AFD419" s="6"/>
      <c r="AFE419" s="6"/>
      <c r="AFF419" s="6"/>
      <c r="AFG419" s="6"/>
      <c r="AFH419" s="6"/>
      <c r="AFI419" s="6"/>
      <c r="AFJ419" s="6"/>
      <c r="AFK419" s="6"/>
      <c r="AFL419" s="6"/>
      <c r="AFM419" s="6"/>
      <c r="AFN419" s="6"/>
      <c r="AFO419" s="6"/>
      <c r="AFP419" s="6"/>
      <c r="AFQ419" s="6"/>
      <c r="AFR419" s="6"/>
      <c r="AFS419" s="6"/>
      <c r="AFT419" s="6"/>
      <c r="AFU419" s="6"/>
      <c r="AFV419" s="6"/>
      <c r="AFW419" s="6"/>
      <c r="AFX419" s="6"/>
      <c r="AFY419" s="6"/>
      <c r="AFZ419" s="6"/>
      <c r="AGA419" s="6"/>
      <c r="AGB419" s="6"/>
      <c r="AGC419" s="6"/>
      <c r="AGD419" s="6"/>
      <c r="AGE419" s="6"/>
      <c r="AGF419" s="6"/>
      <c r="AGG419" s="6"/>
      <c r="AGH419" s="6"/>
      <c r="AGI419" s="6"/>
      <c r="AGJ419" s="6"/>
      <c r="AGK419" s="6"/>
      <c r="AGL419" s="6"/>
      <c r="AGM419" s="6"/>
      <c r="AGN419" s="6"/>
      <c r="AGO419" s="6"/>
      <c r="AGP419" s="6"/>
      <c r="AGQ419" s="6"/>
      <c r="AGR419" s="6"/>
      <c r="AGS419" s="6"/>
      <c r="AGT419" s="6"/>
      <c r="AGU419" s="6"/>
      <c r="AGV419" s="6"/>
      <c r="AGW419" s="6"/>
      <c r="AGX419" s="6"/>
      <c r="AGY419" s="6"/>
      <c r="AGZ419" s="6"/>
      <c r="AHA419" s="6"/>
      <c r="AHB419" s="6"/>
      <c r="AHC419" s="6"/>
      <c r="AHD419" s="6"/>
      <c r="AHE419" s="6"/>
      <c r="AHF419" s="6"/>
      <c r="AHG419" s="6"/>
      <c r="AHH419" s="6"/>
      <c r="AHI419" s="6"/>
      <c r="AHJ419" s="6"/>
      <c r="AHK419" s="6"/>
      <c r="AHL419" s="6"/>
      <c r="AHM419" s="6"/>
      <c r="AHN419" s="6"/>
      <c r="AHO419" s="6"/>
      <c r="AHP419" s="6"/>
      <c r="AHQ419" s="6"/>
      <c r="AHR419" s="6"/>
      <c r="AHS419" s="6"/>
      <c r="AHT419" s="6"/>
      <c r="AHU419" s="6"/>
      <c r="AHV419" s="6"/>
      <c r="AHW419" s="6"/>
      <c r="AHX419" s="6"/>
      <c r="AHY419" s="6"/>
      <c r="AHZ419" s="6"/>
      <c r="AIA419" s="6"/>
      <c r="AIB419" s="6"/>
      <c r="AIC419" s="6"/>
      <c r="AID419" s="6"/>
      <c r="AIE419" s="6"/>
      <c r="AIF419" s="6"/>
      <c r="AIG419" s="6"/>
      <c r="AIH419" s="6"/>
      <c r="AII419" s="6"/>
      <c r="AIJ419" s="6"/>
      <c r="AIK419" s="6"/>
      <c r="AIL419" s="6"/>
      <c r="AIM419" s="6"/>
      <c r="AIN419" s="6"/>
      <c r="AIO419" s="6"/>
      <c r="AIP419" s="6"/>
      <c r="AIQ419" s="6"/>
      <c r="AIR419" s="6"/>
      <c r="AIS419" s="6"/>
      <c r="AIT419" s="6"/>
      <c r="AIU419" s="6"/>
      <c r="AIV419" s="6"/>
      <c r="AIW419" s="6"/>
      <c r="AIX419" s="6"/>
      <c r="AIY419" s="6"/>
      <c r="AIZ419" s="6"/>
      <c r="AJA419" s="6"/>
      <c r="AJB419" s="6"/>
      <c r="AJC419" s="6"/>
      <c r="AJD419" s="6"/>
      <c r="AJE419" s="6"/>
      <c r="AJF419" s="6"/>
      <c r="AJG419" s="6"/>
      <c r="AJH419" s="6"/>
      <c r="AJI419" s="6"/>
      <c r="AJJ419" s="6"/>
      <c r="AJK419" s="6"/>
      <c r="AJL419" s="6"/>
      <c r="AJM419" s="6"/>
      <c r="AJN419" s="6"/>
      <c r="AJO419" s="6"/>
      <c r="AJP419" s="6"/>
      <c r="AJQ419" s="6"/>
      <c r="AJR419" s="6"/>
      <c r="AJS419" s="6"/>
      <c r="AJT419" s="6"/>
      <c r="AJU419" s="6"/>
      <c r="AJV419" s="6"/>
      <c r="AJW419" s="6"/>
      <c r="AJX419" s="6"/>
      <c r="AJY419" s="6"/>
      <c r="AJZ419" s="6"/>
      <c r="AKA419" s="6"/>
      <c r="AKB419" s="6"/>
      <c r="AKC419" s="6"/>
      <c r="AKD419" s="6"/>
      <c r="AKE419" s="6"/>
      <c r="AKF419" s="6"/>
      <c r="AKG419" s="6"/>
      <c r="AKH419" s="6"/>
      <c r="AKI419" s="6"/>
      <c r="AKJ419" s="6"/>
      <c r="AKK419" s="6"/>
      <c r="AKL419" s="6"/>
      <c r="AKM419" s="6"/>
      <c r="AKN419" s="6"/>
      <c r="AKO419" s="6"/>
      <c r="AKP419" s="6"/>
      <c r="AKQ419" s="6"/>
      <c r="AKR419" s="6"/>
      <c r="AKS419" s="6"/>
      <c r="AKT419" s="6"/>
      <c r="AKU419" s="6"/>
      <c r="AKV419" s="6"/>
      <c r="AKW419" s="6"/>
      <c r="AKX419" s="6"/>
      <c r="AKY419" s="6"/>
      <c r="AKZ419" s="6"/>
      <c r="ALA419" s="6"/>
      <c r="ALB419" s="6"/>
      <c r="ALC419" s="6"/>
      <c r="ALD419" s="6"/>
      <c r="ALE419" s="6"/>
      <c r="ALF419" s="6"/>
      <c r="ALG419" s="6"/>
      <c r="ALH419" s="6"/>
      <c r="ALI419" s="6"/>
      <c r="ALJ419" s="6"/>
      <c r="ALK419" s="6"/>
      <c r="ALL419" s="6"/>
      <c r="ALM419" s="6"/>
      <c r="ALN419" s="6"/>
      <c r="ALO419" s="6"/>
      <c r="ALP419" s="6"/>
      <c r="ALQ419" s="6"/>
      <c r="ALR419" s="6"/>
      <c r="ALS419" s="6"/>
      <c r="ALT419" s="6"/>
      <c r="ALU419" s="6"/>
      <c r="ALV419" s="6"/>
      <c r="ALW419" s="6"/>
      <c r="ALX419" s="6"/>
      <c r="ALY419" s="6"/>
      <c r="ALZ419" s="6"/>
      <c r="AMA419" s="6"/>
      <c r="AMB419" s="6"/>
      <c r="AMC419" s="6"/>
      <c r="AMD419" s="6"/>
      <c r="AME419" s="6"/>
      <c r="AMF419" s="6"/>
      <c r="AMG419" s="6"/>
      <c r="AMH419" s="6"/>
      <c r="AMI419" s="6"/>
      <c r="AMJ419" s="6"/>
      <c r="AMK419" s="6"/>
      <c r="AML419" s="6"/>
      <c r="AMM419" s="6"/>
      <c r="AMN419" s="6"/>
      <c r="AMO419" s="6"/>
      <c r="AMP419" s="6"/>
    </row>
    <row r="420" spans="1:1030" x14ac:dyDescent="0.2">
      <c r="A420" s="3" t="str">
        <f t="shared" si="3885"/>
        <v>q80km9_hcmv_5WB1</v>
      </c>
      <c r="B420" s="2" t="s">
        <v>1503</v>
      </c>
      <c r="C420" s="3" t="s">
        <v>1505</v>
      </c>
      <c r="D420" s="3" t="str">
        <f>IFERROR(MID(VLOOKUP($B420,Seqs!$A:$B,2,0),E420,1),"")</f>
        <v>F</v>
      </c>
      <c r="E420" s="3">
        <v>25</v>
      </c>
      <c r="F420" s="3" t="str">
        <f>IFERROR(MID(VLOOKUP($B420,Seqs!$A:$B,2,0),G420,1),"")</f>
        <v>W</v>
      </c>
      <c r="G420" s="3">
        <v>60</v>
      </c>
      <c r="H420" s="3" t="str">
        <f>IFERROR(MID(VLOOKUP($B420,Seqs!$A:$B,2,0),I420,1),"")</f>
        <v/>
      </c>
      <c r="I420" s="23" t="s">
        <v>23</v>
      </c>
      <c r="J420" s="3" t="str">
        <f>IFERROR(MID(VLOOKUP($B420,Seqs!$A:$B,2,0),K420,1),"")</f>
        <v/>
      </c>
      <c r="K420" s="23" t="s">
        <v>23</v>
      </c>
      <c r="L420" s="3" t="str">
        <f>IFERROR(MID(VLOOKUP($B420,Seqs!$A:$B,2,0),M420,1),"")</f>
        <v>C</v>
      </c>
      <c r="M420" s="3">
        <v>66</v>
      </c>
      <c r="N420" s="3" t="str">
        <f>IFERROR(MID(VLOOKUP($B420,Seqs!$A:$B,2,0),O420,1),"")</f>
        <v>D</v>
      </c>
      <c r="O420" s="3">
        <v>95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A</v>
      </c>
      <c r="U420" s="3">
        <v>100</v>
      </c>
      <c r="V420" s="3" t="str">
        <f>IFERROR(MID(VLOOKUP($B420,Seqs!$A:$B,2,0),W420,1),"")</f>
        <v>V</v>
      </c>
      <c r="W420" s="3">
        <v>134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P</v>
      </c>
      <c r="AC420" s="3">
        <v>140</v>
      </c>
      <c r="AD420" s="3" t="str">
        <f>IFERROR(MID(VLOOKUP($B420,Seqs!$A:$B,2,0),AE420,1),"")</f>
        <v>M</v>
      </c>
      <c r="AE420" s="3">
        <v>164</v>
      </c>
      <c r="AF420" s="3" t="str">
        <f>IFERROR(MID(VLOOKUP($B420,Seqs!$A:$B,2,0),AG420,1),"")</f>
        <v>C</v>
      </c>
      <c r="AG420" s="3">
        <v>173</v>
      </c>
      <c r="AH420" s="3" t="str">
        <f>IFERROR(MID(VLOOKUP($B420,Seqs!$A:$B,2,0),AI420,1),"")</f>
        <v>T</v>
      </c>
      <c r="AI420" s="3">
        <v>175</v>
      </c>
      <c r="AJ420" s="3" t="str">
        <f>IFERROR(MID(VLOOKUP($B420,Seqs!$A:$B,2,0),AK420,1),"")</f>
        <v>S</v>
      </c>
      <c r="AK420" s="3">
        <v>183</v>
      </c>
      <c r="AL420" s="3" t="str">
        <f>IFERROR(MID(VLOOKUP($B420,Seqs!$A:$B,2,0),AM420,1),"")</f>
        <v>S</v>
      </c>
      <c r="AM420" s="3">
        <v>218</v>
      </c>
      <c r="AN420" s="3" t="str">
        <f>IFERROR(MID(VLOOKUP($B420,Seqs!$A:$B,2,0),AO420,1),"")</f>
        <v>H</v>
      </c>
      <c r="AO420" s="3">
        <v>222</v>
      </c>
      <c r="AP420" s="3" t="str">
        <f>IFERROR(MID(VLOOKUP($B420,Seqs!$A:$B,2,0),AQ420,1),"")</f>
        <v>K</v>
      </c>
      <c r="AQ420" s="3">
        <v>257</v>
      </c>
      <c r="AR420" s="3" t="str">
        <f>IFERROR(MID(VLOOKUP($B420,Seqs!$A:$B,2,0),AS420,1),"")</f>
        <v>S</v>
      </c>
      <c r="AS420" s="3">
        <v>262</v>
      </c>
      <c r="AT420" s="3" t="str">
        <f>IFERROR(MID(VLOOKUP($B420,Seqs!$A:$B,2,0),AU420,1),"")</f>
        <v>V</v>
      </c>
      <c r="AU420" s="3">
        <v>294</v>
      </c>
      <c r="AV420" s="3" t="str">
        <f>IFERROR(MID(VLOOKUP($B420,Seqs!$A:$B,2,0),AW420,1),"")</f>
        <v>G</v>
      </c>
      <c r="AW420" s="3">
        <v>295</v>
      </c>
      <c r="AX420" s="3" t="str">
        <f>IFERROR(MID(VLOOKUP($B420,Seqs!$A:$B,2,0),AY420,1),"")</f>
        <v>R</v>
      </c>
      <c r="AY420" s="3">
        <v>310</v>
      </c>
      <c r="AZ420" s="77" t="str">
        <f>VLOOKUP(B420,Classification!A:D,2,0)</f>
        <v>A</v>
      </c>
      <c r="BA420" s="94" t="str">
        <f>VLOOKUP(B420,Classification!A:D,4,0)</f>
        <v>Chemokine</v>
      </c>
      <c r="BB420" s="27" t="b">
        <f t="shared" si="3858"/>
        <v>1</v>
      </c>
      <c r="BC420" s="23">
        <f t="shared" si="3859"/>
        <v>253</v>
      </c>
      <c r="BD420" s="4" t="s">
        <v>1371</v>
      </c>
      <c r="BE420" s="3" t="s">
        <v>1287</v>
      </c>
      <c r="BF420" s="118">
        <v>3.51</v>
      </c>
      <c r="BG420" s="49" t="s">
        <v>1</v>
      </c>
      <c r="BH420" s="49" t="s">
        <v>1</v>
      </c>
      <c r="BI420" s="1"/>
      <c r="BJ420" s="70" t="s">
        <v>1283</v>
      </c>
      <c r="BK420" s="57" t="s">
        <v>1283</v>
      </c>
      <c r="BL420" s="57" t="s">
        <v>1283</v>
      </c>
      <c r="BM420" s="57" t="s">
        <v>1283</v>
      </c>
      <c r="BN420" s="57" t="s">
        <v>1283</v>
      </c>
      <c r="BO420" s="57" t="s">
        <v>1283</v>
      </c>
      <c r="BP420" s="57" t="s">
        <v>1283</v>
      </c>
      <c r="BQ420" s="57" t="s">
        <v>1283</v>
      </c>
      <c r="BR420" s="57" t="s">
        <v>1283</v>
      </c>
      <c r="BS420" s="57" t="s">
        <v>1283</v>
      </c>
      <c r="BT420" s="57" t="s">
        <v>1283</v>
      </c>
      <c r="BU420" s="57" t="s">
        <v>1283</v>
      </c>
      <c r="BV420" s="70">
        <f t="shared" si="3860"/>
        <v>25</v>
      </c>
      <c r="BW420" s="71" t="str">
        <f t="shared" si="3861"/>
        <v>-</v>
      </c>
      <c r="BX420" s="72">
        <f t="shared" si="3862"/>
        <v>66</v>
      </c>
      <c r="BY420" s="71" t="str">
        <f t="shared" si="3863"/>
        <v>-</v>
      </c>
      <c r="BZ420" s="72">
        <f t="shared" si="3864"/>
        <v>100</v>
      </c>
      <c r="CA420" s="71" t="str">
        <f t="shared" si="3865"/>
        <v>-</v>
      </c>
      <c r="CB420" s="72">
        <f t="shared" si="3866"/>
        <v>140</v>
      </c>
      <c r="CC420" s="71">
        <f t="shared" si="3867"/>
        <v>173</v>
      </c>
      <c r="CD420" s="72">
        <f t="shared" si="3868"/>
        <v>183</v>
      </c>
      <c r="CE420" s="71">
        <f t="shared" si="3869"/>
        <v>222</v>
      </c>
      <c r="CF420" s="72">
        <f t="shared" si="3870"/>
        <v>262</v>
      </c>
      <c r="CG420" s="71">
        <f t="shared" si="3871"/>
        <v>295</v>
      </c>
      <c r="CH420" s="70">
        <f t="shared" si="3872"/>
        <v>60</v>
      </c>
      <c r="CI420" s="71" t="str">
        <f t="shared" si="3873"/>
        <v>-</v>
      </c>
      <c r="CJ420" s="72">
        <f t="shared" si="3874"/>
        <v>95</v>
      </c>
      <c r="CK420" s="72" t="str">
        <f t="shared" si="3875"/>
        <v>-</v>
      </c>
      <c r="CL420" s="72">
        <f t="shared" si="3876"/>
        <v>134</v>
      </c>
      <c r="CM420" s="72" t="str">
        <f t="shared" si="3877"/>
        <v>-</v>
      </c>
      <c r="CN420" s="72">
        <f t="shared" si="3878"/>
        <v>164</v>
      </c>
      <c r="CO420" s="72">
        <f t="shared" si="3879"/>
        <v>175</v>
      </c>
      <c r="CP420" s="72">
        <f t="shared" si="3880"/>
        <v>218</v>
      </c>
      <c r="CQ420" s="72">
        <f t="shared" si="3881"/>
        <v>257</v>
      </c>
      <c r="CR420" s="72">
        <f t="shared" si="3882"/>
        <v>294</v>
      </c>
      <c r="CS420" s="72">
        <f t="shared" si="3883"/>
        <v>310</v>
      </c>
      <c r="CT420" s="23" t="e">
        <f t="shared" si="3884"/>
        <v>#VALUE!</v>
      </c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6"/>
      <c r="ACQ420" s="6"/>
      <c r="ACR420" s="6"/>
      <c r="ACS420" s="6"/>
      <c r="ACT420" s="6"/>
      <c r="ACU420" s="6"/>
      <c r="ACV420" s="6"/>
      <c r="ACW420" s="6"/>
      <c r="ACX420" s="6"/>
      <c r="ACY420" s="6"/>
      <c r="ACZ420" s="6"/>
      <c r="ADA420" s="6"/>
      <c r="ADB420" s="6"/>
      <c r="ADC420" s="6"/>
      <c r="ADD420" s="6"/>
      <c r="ADE420" s="6"/>
      <c r="ADF420" s="6"/>
      <c r="ADG420" s="6"/>
      <c r="ADH420" s="6"/>
      <c r="ADI420" s="6"/>
      <c r="ADJ420" s="6"/>
      <c r="ADK420" s="6"/>
      <c r="ADL420" s="6"/>
      <c r="ADM420" s="6"/>
      <c r="ADN420" s="6"/>
      <c r="ADO420" s="6"/>
      <c r="ADP420" s="6"/>
      <c r="ADQ420" s="6"/>
      <c r="ADR420" s="6"/>
      <c r="ADS420" s="6"/>
      <c r="ADT420" s="6"/>
      <c r="ADU420" s="6"/>
      <c r="ADV420" s="6"/>
      <c r="ADW420" s="6"/>
      <c r="ADX420" s="6"/>
      <c r="ADY420" s="6"/>
      <c r="ADZ420" s="6"/>
      <c r="AEA420" s="6"/>
      <c r="AEB420" s="6"/>
      <c r="AEC420" s="6"/>
      <c r="AED420" s="6"/>
      <c r="AEE420" s="6"/>
      <c r="AEF420" s="6"/>
      <c r="AEG420" s="6"/>
      <c r="AEH420" s="6"/>
      <c r="AEI420" s="6"/>
      <c r="AEJ420" s="6"/>
      <c r="AEK420" s="6"/>
      <c r="AEL420" s="6"/>
      <c r="AEM420" s="6"/>
      <c r="AEN420" s="6"/>
      <c r="AEO420" s="6"/>
      <c r="AEP420" s="6"/>
      <c r="AEQ420" s="6"/>
      <c r="AER420" s="6"/>
      <c r="AES420" s="6"/>
      <c r="AET420" s="6"/>
      <c r="AEU420" s="6"/>
      <c r="AEV420" s="6"/>
      <c r="AEW420" s="6"/>
      <c r="AEX420" s="6"/>
      <c r="AEY420" s="6"/>
      <c r="AEZ420" s="6"/>
      <c r="AFA420" s="6"/>
      <c r="AFB420" s="6"/>
      <c r="AFC420" s="6"/>
      <c r="AFD420" s="6"/>
      <c r="AFE420" s="6"/>
      <c r="AFF420" s="6"/>
      <c r="AFG420" s="6"/>
      <c r="AFH420" s="6"/>
      <c r="AFI420" s="6"/>
      <c r="AFJ420" s="6"/>
      <c r="AFK420" s="6"/>
      <c r="AFL420" s="6"/>
      <c r="AFM420" s="6"/>
      <c r="AFN420" s="6"/>
      <c r="AFO420" s="6"/>
      <c r="AFP420" s="6"/>
      <c r="AFQ420" s="6"/>
      <c r="AFR420" s="6"/>
      <c r="AFS420" s="6"/>
      <c r="AFT420" s="6"/>
      <c r="AFU420" s="6"/>
      <c r="AFV420" s="6"/>
      <c r="AFW420" s="6"/>
      <c r="AFX420" s="6"/>
      <c r="AFY420" s="6"/>
      <c r="AFZ420" s="6"/>
      <c r="AGA420" s="6"/>
      <c r="AGB420" s="6"/>
      <c r="AGC420" s="6"/>
      <c r="AGD420" s="6"/>
      <c r="AGE420" s="6"/>
      <c r="AGF420" s="6"/>
      <c r="AGG420" s="6"/>
      <c r="AGH420" s="6"/>
      <c r="AGI420" s="6"/>
      <c r="AGJ420" s="6"/>
      <c r="AGK420" s="6"/>
      <c r="AGL420" s="6"/>
      <c r="AGM420" s="6"/>
      <c r="AGN420" s="6"/>
      <c r="AGO420" s="6"/>
      <c r="AGP420" s="6"/>
      <c r="AGQ420" s="6"/>
      <c r="AGR420" s="6"/>
      <c r="AGS420" s="6"/>
      <c r="AGT420" s="6"/>
      <c r="AGU420" s="6"/>
      <c r="AGV420" s="6"/>
      <c r="AGW420" s="6"/>
      <c r="AGX420" s="6"/>
      <c r="AGY420" s="6"/>
      <c r="AGZ420" s="6"/>
      <c r="AHA420" s="6"/>
      <c r="AHB420" s="6"/>
      <c r="AHC420" s="6"/>
      <c r="AHD420" s="6"/>
      <c r="AHE420" s="6"/>
      <c r="AHF420" s="6"/>
      <c r="AHG420" s="6"/>
      <c r="AHH420" s="6"/>
      <c r="AHI420" s="6"/>
      <c r="AHJ420" s="6"/>
      <c r="AHK420" s="6"/>
      <c r="AHL420" s="6"/>
      <c r="AHM420" s="6"/>
      <c r="AHN420" s="6"/>
      <c r="AHO420" s="6"/>
      <c r="AHP420" s="6"/>
      <c r="AHQ420" s="6"/>
      <c r="AHR420" s="6"/>
      <c r="AHS420" s="6"/>
      <c r="AHT420" s="6"/>
      <c r="AHU420" s="6"/>
      <c r="AHV420" s="6"/>
      <c r="AHW420" s="6"/>
      <c r="AHX420" s="6"/>
      <c r="AHY420" s="6"/>
      <c r="AHZ420" s="6"/>
      <c r="AIA420" s="6"/>
      <c r="AIB420" s="6"/>
      <c r="AIC420" s="6"/>
      <c r="AID420" s="6"/>
      <c r="AIE420" s="6"/>
      <c r="AIF420" s="6"/>
      <c r="AIG420" s="6"/>
      <c r="AIH420" s="6"/>
      <c r="AII420" s="6"/>
      <c r="AIJ420" s="6"/>
      <c r="AIK420" s="6"/>
      <c r="AIL420" s="6"/>
      <c r="AIM420" s="6"/>
      <c r="AIN420" s="6"/>
      <c r="AIO420" s="6"/>
      <c r="AIP420" s="6"/>
      <c r="AIQ420" s="6"/>
      <c r="AIR420" s="6"/>
      <c r="AIS420" s="6"/>
      <c r="AIT420" s="6"/>
      <c r="AIU420" s="6"/>
      <c r="AIV420" s="6"/>
      <c r="AIW420" s="6"/>
      <c r="AIX420" s="6"/>
      <c r="AIY420" s="6"/>
      <c r="AIZ420" s="6"/>
      <c r="AJA420" s="6"/>
      <c r="AJB420" s="6"/>
      <c r="AJC420" s="6"/>
      <c r="AJD420" s="6"/>
      <c r="AJE420" s="6"/>
      <c r="AJF420" s="6"/>
      <c r="AJG420" s="6"/>
      <c r="AJH420" s="6"/>
      <c r="AJI420" s="6"/>
      <c r="AJJ420" s="6"/>
      <c r="AJK420" s="6"/>
      <c r="AJL420" s="6"/>
      <c r="AJM420" s="6"/>
      <c r="AJN420" s="6"/>
      <c r="AJO420" s="6"/>
      <c r="AJP420" s="6"/>
      <c r="AJQ420" s="6"/>
      <c r="AJR420" s="6"/>
      <c r="AJS420" s="6"/>
      <c r="AJT420" s="6"/>
      <c r="AJU420" s="6"/>
      <c r="AJV420" s="6"/>
      <c r="AJW420" s="6"/>
      <c r="AJX420" s="6"/>
      <c r="AJY420" s="6"/>
      <c r="AJZ420" s="6"/>
      <c r="AKA420" s="6"/>
      <c r="AKB420" s="6"/>
      <c r="AKC420" s="6"/>
      <c r="AKD420" s="6"/>
      <c r="AKE420" s="6"/>
      <c r="AKF420" s="6"/>
      <c r="AKG420" s="6"/>
      <c r="AKH420" s="6"/>
      <c r="AKI420" s="6"/>
      <c r="AKJ420" s="6"/>
      <c r="AKK420" s="6"/>
      <c r="AKL420" s="6"/>
      <c r="AKM420" s="6"/>
      <c r="AKN420" s="6"/>
      <c r="AKO420" s="6"/>
      <c r="AKP420" s="6"/>
      <c r="AKQ420" s="6"/>
      <c r="AKR420" s="6"/>
      <c r="AKS420" s="6"/>
      <c r="AKT420" s="6"/>
      <c r="AKU420" s="6"/>
      <c r="AKV420" s="6"/>
      <c r="AKW420" s="6"/>
      <c r="AKX420" s="6"/>
      <c r="AKY420" s="6"/>
      <c r="AKZ420" s="6"/>
      <c r="ALA420" s="6"/>
      <c r="ALB420" s="6"/>
      <c r="ALC420" s="6"/>
      <c r="ALD420" s="6"/>
      <c r="ALE420" s="6"/>
      <c r="ALF420" s="6"/>
      <c r="ALG420" s="6"/>
      <c r="ALH420" s="6"/>
      <c r="ALI420" s="6"/>
      <c r="ALJ420" s="6"/>
      <c r="ALK420" s="6"/>
      <c r="ALL420" s="6"/>
      <c r="ALM420" s="6"/>
      <c r="ALN420" s="6"/>
      <c r="ALO420" s="6"/>
      <c r="ALP420" s="6"/>
      <c r="ALQ420" s="6"/>
      <c r="ALR420" s="6"/>
      <c r="ALS420" s="6"/>
      <c r="ALT420" s="6"/>
      <c r="ALU420" s="6"/>
      <c r="ALV420" s="6"/>
      <c r="ALW420" s="6"/>
      <c r="ALX420" s="6"/>
      <c r="ALY420" s="6"/>
      <c r="ALZ420" s="6"/>
      <c r="AMA420" s="6"/>
      <c r="AMB420" s="6"/>
      <c r="AMC420" s="6"/>
      <c r="AMD420" s="6"/>
      <c r="AME420" s="6"/>
      <c r="AMF420" s="6"/>
      <c r="AMG420" s="6"/>
      <c r="AMH420" s="6"/>
      <c r="AMI420" s="6"/>
      <c r="AMJ420" s="6"/>
      <c r="AMK420" s="6"/>
      <c r="AML420" s="6"/>
      <c r="AMM420" s="6"/>
      <c r="AMN420" s="6"/>
      <c r="AMO420" s="6"/>
      <c r="AMP420" s="6"/>
    </row>
    <row r="421" spans="1:1030" x14ac:dyDescent="0.2">
      <c r="A421" s="3" t="str">
        <f t="shared" si="3885"/>
        <v>q80km9_hcmv_5WB2</v>
      </c>
      <c r="B421" s="2" t="s">
        <v>1503</v>
      </c>
      <c r="C421" s="3" t="s">
        <v>1506</v>
      </c>
      <c r="D421" s="3" t="str">
        <f>IFERROR(MID(VLOOKUP($B421,Seqs!$A:$B,2,0),E421,1),"")</f>
        <v>F</v>
      </c>
      <c r="E421" s="3">
        <v>25</v>
      </c>
      <c r="F421" s="3" t="str">
        <f>IFERROR(MID(VLOOKUP($B421,Seqs!$A:$B,2,0),G421,1),"")</f>
        <v>W</v>
      </c>
      <c r="G421" s="3">
        <v>60</v>
      </c>
      <c r="H421" s="3" t="str">
        <f>IFERROR(MID(VLOOKUP($B421,Seqs!$A:$B,2,0),I421,1),"")</f>
        <v/>
      </c>
      <c r="I421" s="23" t="s">
        <v>23</v>
      </c>
      <c r="J421" s="3" t="str">
        <f>IFERROR(MID(VLOOKUP($B421,Seqs!$A:$B,2,0),K421,1),"")</f>
        <v/>
      </c>
      <c r="K421" s="23" t="s">
        <v>23</v>
      </c>
      <c r="L421" s="3" t="str">
        <f>IFERROR(MID(VLOOKUP($B421,Seqs!$A:$B,2,0),M421,1),"")</f>
        <v>C</v>
      </c>
      <c r="M421" s="3">
        <v>66</v>
      </c>
      <c r="N421" s="3" t="str">
        <f>IFERROR(MID(VLOOKUP($B421,Seqs!$A:$B,2,0),O421,1),"")</f>
        <v>D</v>
      </c>
      <c r="O421" s="3">
        <v>95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A</v>
      </c>
      <c r="U421" s="3">
        <v>100</v>
      </c>
      <c r="V421" s="3" t="str">
        <f>IFERROR(MID(VLOOKUP($B421,Seqs!$A:$B,2,0),W421,1),"")</f>
        <v>V</v>
      </c>
      <c r="W421" s="3">
        <v>134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P</v>
      </c>
      <c r="AC421" s="3">
        <v>140</v>
      </c>
      <c r="AD421" s="3" t="str">
        <f>IFERROR(MID(VLOOKUP($B421,Seqs!$A:$B,2,0),AE421,1),"")</f>
        <v>M</v>
      </c>
      <c r="AE421" s="3">
        <v>164</v>
      </c>
      <c r="AF421" s="3" t="str">
        <f>IFERROR(MID(VLOOKUP($B421,Seqs!$A:$B,2,0),AG421,1),"")</f>
        <v>C</v>
      </c>
      <c r="AG421" s="3">
        <v>173</v>
      </c>
      <c r="AH421" s="3" t="str">
        <f>IFERROR(MID(VLOOKUP($B421,Seqs!$A:$B,2,0),AI421,1),"")</f>
        <v>T</v>
      </c>
      <c r="AI421" s="3">
        <v>175</v>
      </c>
      <c r="AJ421" s="3" t="str">
        <f>IFERROR(MID(VLOOKUP($B421,Seqs!$A:$B,2,0),AK421,1),"")</f>
        <v>S</v>
      </c>
      <c r="AK421" s="3">
        <v>183</v>
      </c>
      <c r="AL421" s="3" t="str">
        <f>IFERROR(MID(VLOOKUP($B421,Seqs!$A:$B,2,0),AM421,1),"")</f>
        <v>S</v>
      </c>
      <c r="AM421" s="3">
        <v>218</v>
      </c>
      <c r="AN421" s="3" t="str">
        <f>IFERROR(MID(VLOOKUP($B421,Seqs!$A:$B,2,0),AO421,1),"")</f>
        <v>H</v>
      </c>
      <c r="AO421" s="3">
        <v>222</v>
      </c>
      <c r="AP421" s="3" t="str">
        <f>IFERROR(MID(VLOOKUP($B421,Seqs!$A:$B,2,0),AQ421,1),"")</f>
        <v>K</v>
      </c>
      <c r="AQ421" s="3">
        <v>257</v>
      </c>
      <c r="AR421" s="3" t="str">
        <f>IFERROR(MID(VLOOKUP($B421,Seqs!$A:$B,2,0),AS421,1),"")</f>
        <v>S</v>
      </c>
      <c r="AS421" s="3">
        <v>262</v>
      </c>
      <c r="AT421" s="3" t="str">
        <f>IFERROR(MID(VLOOKUP($B421,Seqs!$A:$B,2,0),AU421,1),"")</f>
        <v>V</v>
      </c>
      <c r="AU421" s="3">
        <v>294</v>
      </c>
      <c r="AV421" s="3" t="str">
        <f>IFERROR(MID(VLOOKUP($B421,Seqs!$A:$B,2,0),AW421,1),"")</f>
        <v>G</v>
      </c>
      <c r="AW421" s="3">
        <v>295</v>
      </c>
      <c r="AX421" s="3" t="str">
        <f>IFERROR(MID(VLOOKUP($B421,Seqs!$A:$B,2,0),AY421,1),"")</f>
        <v>A</v>
      </c>
      <c r="AY421" s="3">
        <v>307</v>
      </c>
      <c r="AZ421" s="77" t="str">
        <f>VLOOKUP(B421,Classification!A:D,2,0)</f>
        <v>A</v>
      </c>
      <c r="BA421" s="94" t="str">
        <f>VLOOKUP(B421,Classification!A:D,4,0)</f>
        <v>Chemokine</v>
      </c>
      <c r="BB421" s="27" t="b">
        <f t="shared" si="3858"/>
        <v>1</v>
      </c>
      <c r="BC421" s="23">
        <f t="shared" si="3859"/>
        <v>250</v>
      </c>
      <c r="BD421" s="4" t="s">
        <v>23</v>
      </c>
      <c r="BE421" s="3" t="s">
        <v>1287</v>
      </c>
      <c r="BF421" s="118">
        <v>3.5</v>
      </c>
      <c r="BG421" s="49" t="s">
        <v>1</v>
      </c>
      <c r="BH421" s="49" t="s">
        <v>1</v>
      </c>
      <c r="BI421" s="1"/>
      <c r="BJ421" s="70" t="s">
        <v>1283</v>
      </c>
      <c r="BK421" s="57" t="s">
        <v>1283</v>
      </c>
      <c r="BL421" s="57" t="s">
        <v>1283</v>
      </c>
      <c r="BM421" s="57" t="s">
        <v>1283</v>
      </c>
      <c r="BN421" s="57" t="s">
        <v>1283</v>
      </c>
      <c r="BO421" s="57" t="s">
        <v>1283</v>
      </c>
      <c r="BP421" s="57" t="s">
        <v>1283</v>
      </c>
      <c r="BQ421" s="57" t="s">
        <v>1283</v>
      </c>
      <c r="BR421" s="57" t="s">
        <v>1283</v>
      </c>
      <c r="BS421" s="57" t="s">
        <v>1283</v>
      </c>
      <c r="BT421" s="57" t="s">
        <v>1283</v>
      </c>
      <c r="BU421" s="57" t="s">
        <v>1283</v>
      </c>
      <c r="BV421" s="70">
        <f t="shared" si="3860"/>
        <v>25</v>
      </c>
      <c r="BW421" s="71" t="str">
        <f t="shared" si="3861"/>
        <v>-</v>
      </c>
      <c r="BX421" s="72">
        <f t="shared" si="3862"/>
        <v>66</v>
      </c>
      <c r="BY421" s="71" t="str">
        <f t="shared" si="3863"/>
        <v>-</v>
      </c>
      <c r="BZ421" s="72">
        <f t="shared" si="3864"/>
        <v>100</v>
      </c>
      <c r="CA421" s="71" t="str">
        <f t="shared" si="3865"/>
        <v>-</v>
      </c>
      <c r="CB421" s="72">
        <f t="shared" si="3866"/>
        <v>140</v>
      </c>
      <c r="CC421" s="71">
        <f t="shared" si="3867"/>
        <v>173</v>
      </c>
      <c r="CD421" s="72">
        <f t="shared" si="3868"/>
        <v>183</v>
      </c>
      <c r="CE421" s="71">
        <f t="shared" si="3869"/>
        <v>222</v>
      </c>
      <c r="CF421" s="72">
        <f t="shared" si="3870"/>
        <v>262</v>
      </c>
      <c r="CG421" s="71">
        <f t="shared" si="3871"/>
        <v>295</v>
      </c>
      <c r="CH421" s="70">
        <f t="shared" si="3872"/>
        <v>60</v>
      </c>
      <c r="CI421" s="71" t="str">
        <f t="shared" si="3873"/>
        <v>-</v>
      </c>
      <c r="CJ421" s="72">
        <f t="shared" si="3874"/>
        <v>95</v>
      </c>
      <c r="CK421" s="72" t="str">
        <f t="shared" si="3875"/>
        <v>-</v>
      </c>
      <c r="CL421" s="72">
        <f t="shared" si="3876"/>
        <v>134</v>
      </c>
      <c r="CM421" s="72" t="str">
        <f t="shared" si="3877"/>
        <v>-</v>
      </c>
      <c r="CN421" s="72">
        <f t="shared" si="3878"/>
        <v>164</v>
      </c>
      <c r="CO421" s="72">
        <f t="shared" si="3879"/>
        <v>175</v>
      </c>
      <c r="CP421" s="72">
        <f t="shared" si="3880"/>
        <v>218</v>
      </c>
      <c r="CQ421" s="72">
        <f t="shared" si="3881"/>
        <v>257</v>
      </c>
      <c r="CR421" s="72">
        <f t="shared" si="3882"/>
        <v>294</v>
      </c>
      <c r="CS421" s="72">
        <f t="shared" si="3883"/>
        <v>307</v>
      </c>
      <c r="CT421" s="23" t="e">
        <f t="shared" si="3884"/>
        <v>#VALUE!</v>
      </c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6"/>
      <c r="ACQ421" s="6"/>
      <c r="ACR421" s="6"/>
      <c r="ACS421" s="6"/>
      <c r="ACT421" s="6"/>
      <c r="ACU421" s="6"/>
      <c r="ACV421" s="6"/>
      <c r="ACW421" s="6"/>
      <c r="ACX421" s="6"/>
      <c r="ACY421" s="6"/>
      <c r="ACZ421" s="6"/>
      <c r="ADA421" s="6"/>
      <c r="ADB421" s="6"/>
      <c r="ADC421" s="6"/>
      <c r="ADD421" s="6"/>
      <c r="ADE421" s="6"/>
      <c r="ADF421" s="6"/>
      <c r="ADG421" s="6"/>
      <c r="ADH421" s="6"/>
      <c r="ADI421" s="6"/>
      <c r="ADJ421" s="6"/>
      <c r="ADK421" s="6"/>
      <c r="ADL421" s="6"/>
      <c r="ADM421" s="6"/>
      <c r="ADN421" s="6"/>
      <c r="ADO421" s="6"/>
      <c r="ADP421" s="6"/>
      <c r="ADQ421" s="6"/>
      <c r="ADR421" s="6"/>
      <c r="ADS421" s="6"/>
      <c r="ADT421" s="6"/>
      <c r="ADU421" s="6"/>
      <c r="ADV421" s="6"/>
      <c r="ADW421" s="6"/>
      <c r="ADX421" s="6"/>
      <c r="ADY421" s="6"/>
      <c r="ADZ421" s="6"/>
      <c r="AEA421" s="6"/>
      <c r="AEB421" s="6"/>
      <c r="AEC421" s="6"/>
      <c r="AED421" s="6"/>
      <c r="AEE421" s="6"/>
      <c r="AEF421" s="6"/>
      <c r="AEG421" s="6"/>
      <c r="AEH421" s="6"/>
      <c r="AEI421" s="6"/>
      <c r="AEJ421" s="6"/>
      <c r="AEK421" s="6"/>
      <c r="AEL421" s="6"/>
      <c r="AEM421" s="6"/>
      <c r="AEN421" s="6"/>
      <c r="AEO421" s="6"/>
      <c r="AEP421" s="6"/>
      <c r="AEQ421" s="6"/>
      <c r="AER421" s="6"/>
      <c r="AES421" s="6"/>
      <c r="AET421" s="6"/>
      <c r="AEU421" s="6"/>
      <c r="AEV421" s="6"/>
      <c r="AEW421" s="6"/>
      <c r="AEX421" s="6"/>
      <c r="AEY421" s="6"/>
      <c r="AEZ421" s="6"/>
      <c r="AFA421" s="6"/>
      <c r="AFB421" s="6"/>
      <c r="AFC421" s="6"/>
      <c r="AFD421" s="6"/>
      <c r="AFE421" s="6"/>
      <c r="AFF421" s="6"/>
      <c r="AFG421" s="6"/>
      <c r="AFH421" s="6"/>
      <c r="AFI421" s="6"/>
      <c r="AFJ421" s="6"/>
      <c r="AFK421" s="6"/>
      <c r="AFL421" s="6"/>
      <c r="AFM421" s="6"/>
      <c r="AFN421" s="6"/>
      <c r="AFO421" s="6"/>
      <c r="AFP421" s="6"/>
      <c r="AFQ421" s="6"/>
      <c r="AFR421" s="6"/>
      <c r="AFS421" s="6"/>
      <c r="AFT421" s="6"/>
      <c r="AFU421" s="6"/>
      <c r="AFV421" s="6"/>
      <c r="AFW421" s="6"/>
      <c r="AFX421" s="6"/>
      <c r="AFY421" s="6"/>
      <c r="AFZ421" s="6"/>
      <c r="AGA421" s="6"/>
      <c r="AGB421" s="6"/>
      <c r="AGC421" s="6"/>
      <c r="AGD421" s="6"/>
      <c r="AGE421" s="6"/>
      <c r="AGF421" s="6"/>
      <c r="AGG421" s="6"/>
      <c r="AGH421" s="6"/>
      <c r="AGI421" s="6"/>
      <c r="AGJ421" s="6"/>
      <c r="AGK421" s="6"/>
      <c r="AGL421" s="6"/>
      <c r="AGM421" s="6"/>
      <c r="AGN421" s="6"/>
      <c r="AGO421" s="6"/>
      <c r="AGP421" s="6"/>
      <c r="AGQ421" s="6"/>
      <c r="AGR421" s="6"/>
      <c r="AGS421" s="6"/>
      <c r="AGT421" s="6"/>
      <c r="AGU421" s="6"/>
      <c r="AGV421" s="6"/>
      <c r="AGW421" s="6"/>
      <c r="AGX421" s="6"/>
      <c r="AGY421" s="6"/>
      <c r="AGZ421" s="6"/>
      <c r="AHA421" s="6"/>
      <c r="AHB421" s="6"/>
      <c r="AHC421" s="6"/>
      <c r="AHD421" s="6"/>
      <c r="AHE421" s="6"/>
      <c r="AHF421" s="6"/>
      <c r="AHG421" s="6"/>
      <c r="AHH421" s="6"/>
      <c r="AHI421" s="6"/>
      <c r="AHJ421" s="6"/>
      <c r="AHK421" s="6"/>
      <c r="AHL421" s="6"/>
      <c r="AHM421" s="6"/>
      <c r="AHN421" s="6"/>
      <c r="AHO421" s="6"/>
      <c r="AHP421" s="6"/>
      <c r="AHQ421" s="6"/>
      <c r="AHR421" s="6"/>
      <c r="AHS421" s="6"/>
      <c r="AHT421" s="6"/>
      <c r="AHU421" s="6"/>
      <c r="AHV421" s="6"/>
      <c r="AHW421" s="6"/>
      <c r="AHX421" s="6"/>
      <c r="AHY421" s="6"/>
      <c r="AHZ421" s="6"/>
      <c r="AIA421" s="6"/>
      <c r="AIB421" s="6"/>
      <c r="AIC421" s="6"/>
      <c r="AID421" s="6"/>
      <c r="AIE421" s="6"/>
      <c r="AIF421" s="6"/>
      <c r="AIG421" s="6"/>
      <c r="AIH421" s="6"/>
      <c r="AII421" s="6"/>
      <c r="AIJ421" s="6"/>
      <c r="AIK421" s="6"/>
      <c r="AIL421" s="6"/>
      <c r="AIM421" s="6"/>
      <c r="AIN421" s="6"/>
      <c r="AIO421" s="6"/>
      <c r="AIP421" s="6"/>
      <c r="AIQ421" s="6"/>
      <c r="AIR421" s="6"/>
      <c r="AIS421" s="6"/>
      <c r="AIT421" s="6"/>
      <c r="AIU421" s="6"/>
      <c r="AIV421" s="6"/>
      <c r="AIW421" s="6"/>
      <c r="AIX421" s="6"/>
      <c r="AIY421" s="6"/>
      <c r="AIZ421" s="6"/>
      <c r="AJA421" s="6"/>
      <c r="AJB421" s="6"/>
      <c r="AJC421" s="6"/>
      <c r="AJD421" s="6"/>
      <c r="AJE421" s="6"/>
      <c r="AJF421" s="6"/>
      <c r="AJG421" s="6"/>
      <c r="AJH421" s="6"/>
      <c r="AJI421" s="6"/>
      <c r="AJJ421" s="6"/>
      <c r="AJK421" s="6"/>
      <c r="AJL421" s="6"/>
      <c r="AJM421" s="6"/>
      <c r="AJN421" s="6"/>
      <c r="AJO421" s="6"/>
      <c r="AJP421" s="6"/>
      <c r="AJQ421" s="6"/>
      <c r="AJR421" s="6"/>
      <c r="AJS421" s="6"/>
      <c r="AJT421" s="6"/>
      <c r="AJU421" s="6"/>
      <c r="AJV421" s="6"/>
      <c r="AJW421" s="6"/>
      <c r="AJX421" s="6"/>
      <c r="AJY421" s="6"/>
      <c r="AJZ421" s="6"/>
      <c r="AKA421" s="6"/>
      <c r="AKB421" s="6"/>
      <c r="AKC421" s="6"/>
      <c r="AKD421" s="6"/>
      <c r="AKE421" s="6"/>
      <c r="AKF421" s="6"/>
      <c r="AKG421" s="6"/>
      <c r="AKH421" s="6"/>
      <c r="AKI421" s="6"/>
      <c r="AKJ421" s="6"/>
      <c r="AKK421" s="6"/>
      <c r="AKL421" s="6"/>
      <c r="AKM421" s="6"/>
      <c r="AKN421" s="6"/>
      <c r="AKO421" s="6"/>
      <c r="AKP421" s="6"/>
      <c r="AKQ421" s="6"/>
      <c r="AKR421" s="6"/>
      <c r="AKS421" s="6"/>
      <c r="AKT421" s="6"/>
      <c r="AKU421" s="6"/>
      <c r="AKV421" s="6"/>
      <c r="AKW421" s="6"/>
      <c r="AKX421" s="6"/>
      <c r="AKY421" s="6"/>
      <c r="AKZ421" s="6"/>
      <c r="ALA421" s="6"/>
      <c r="ALB421" s="6"/>
      <c r="ALC421" s="6"/>
      <c r="ALD421" s="6"/>
      <c r="ALE421" s="6"/>
      <c r="ALF421" s="6"/>
      <c r="ALG421" s="6"/>
      <c r="ALH421" s="6"/>
      <c r="ALI421" s="6"/>
      <c r="ALJ421" s="6"/>
      <c r="ALK421" s="6"/>
      <c r="ALL421" s="6"/>
      <c r="ALM421" s="6"/>
      <c r="ALN421" s="6"/>
      <c r="ALO421" s="6"/>
      <c r="ALP421" s="6"/>
      <c r="ALQ421" s="6"/>
      <c r="ALR421" s="6"/>
      <c r="ALS421" s="6"/>
      <c r="ALT421" s="6"/>
      <c r="ALU421" s="6"/>
      <c r="ALV421" s="6"/>
      <c r="ALW421" s="6"/>
      <c r="ALX421" s="6"/>
      <c r="ALY421" s="6"/>
      <c r="ALZ421" s="6"/>
      <c r="AMA421" s="6"/>
      <c r="AMB421" s="6"/>
      <c r="AMC421" s="6"/>
      <c r="AMD421" s="6"/>
      <c r="AME421" s="6"/>
      <c r="AMF421" s="6"/>
      <c r="AMG421" s="6"/>
      <c r="AMH421" s="6"/>
      <c r="AMI421" s="6"/>
      <c r="AMJ421" s="6"/>
      <c r="AMK421" s="6"/>
      <c r="AML421" s="6"/>
      <c r="AMM421" s="6"/>
      <c r="AMN421" s="6"/>
      <c r="AMO421" s="6"/>
      <c r="AMP421" s="6"/>
    </row>
    <row r="422" spans="1:1030" x14ac:dyDescent="0.2">
      <c r="A422" s="3" t="str">
        <f t="shared" ref="A422:A423" si="3886">CONCATENATE(B422,"_",C422)</f>
        <v>ta2r_human__wt</v>
      </c>
      <c r="B422" s="2" t="s">
        <v>469</v>
      </c>
      <c r="C422" s="3" t="s">
        <v>100</v>
      </c>
      <c r="D422" s="3" t="str">
        <f>IFERROR(MID(VLOOKUP($B422,Seqs!$A:$B,2,0),E422,1),"")</f>
        <v>S</v>
      </c>
      <c r="E422" s="3">
        <v>27</v>
      </c>
      <c r="F422" s="3" t="str">
        <f>IFERROR(MID(VLOOKUP($B422,Seqs!$A:$B,2,0),G422,1),"")</f>
        <v>Q</v>
      </c>
      <c r="G422" s="3">
        <v>54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S</v>
      </c>
      <c r="M422" s="3">
        <v>61</v>
      </c>
      <c r="N422" s="3" t="str">
        <f>IFERROR(MID(VLOOKUP($B422,Seqs!$A:$B,2,0),O422,1),"")</f>
        <v>A</v>
      </c>
      <c r="O422" s="3">
        <v>91</v>
      </c>
      <c r="P422" s="3" t="str">
        <f>IFERROR(MID(VLOOKUP($B422,Seqs!$A:$B,2,0),Q422,1),"")</f>
        <v>E</v>
      </c>
      <c r="Q422" s="3">
        <v>94</v>
      </c>
      <c r="R422" s="3" t="str">
        <f>IFERROR(MID(VLOOKUP($B422,Seqs!$A:$B,2,0),S422,1),"")</f>
        <v>V</v>
      </c>
      <c r="S422" s="3">
        <v>98</v>
      </c>
      <c r="T422" s="3" t="str">
        <f>IFERROR(MID(VLOOKUP($B422,Seqs!$A:$B,2,0),U422,1),"")</f>
        <v>C</v>
      </c>
      <c r="U422" s="3">
        <v>102</v>
      </c>
      <c r="V422" s="3" t="str">
        <f>IFERROR(MID(VLOOKUP($B422,Seqs!$A:$B,2,0),W422,1),"")</f>
        <v>R</v>
      </c>
      <c r="W422" s="3">
        <v>136</v>
      </c>
      <c r="X422" s="3" t="str">
        <f>IFERROR(MID(VLOOKUP($B422,Seqs!$A:$B,2,0),Y422,1),"")</f>
        <v>P</v>
      </c>
      <c r="Y422" s="3">
        <v>137</v>
      </c>
      <c r="Z422" s="3" t="str">
        <f>IFERROR(MID(VLOOKUP($B422,Seqs!$A:$B,2,0),AA422,1),"")</f>
        <v>A</v>
      </c>
      <c r="AA422" s="3">
        <v>144</v>
      </c>
      <c r="AB422" s="3" t="str">
        <f>IFERROR(MID(VLOOKUP($B422,Seqs!$A:$B,2,0),AC422,1),"")</f>
        <v>S</v>
      </c>
      <c r="AC422" s="3">
        <v>145</v>
      </c>
      <c r="AD422" s="3" t="str">
        <f>IFERROR(MID(VLOOKUP($B422,Seqs!$A:$B,2,0),AE422,1),"")</f>
        <v>G</v>
      </c>
      <c r="AE422" s="3">
        <v>170</v>
      </c>
      <c r="AF422" s="3" t="str">
        <f>IFERROR(MID(VLOOKUP($B422,Seqs!$A:$B,2,0),AG422,1),"")</f>
        <v>C</v>
      </c>
      <c r="AG422" s="3">
        <v>183</v>
      </c>
      <c r="AH422" s="3" t="str">
        <f>IFERROR(MID(VLOOKUP($B422,Seqs!$A:$B,2,0),AI422,1),"")</f>
        <v>L</v>
      </c>
      <c r="AI422" s="3">
        <v>185</v>
      </c>
      <c r="AJ422" s="3" t="str">
        <f>IFERROR(MID(VLOOKUP($B422,Seqs!$A:$B,2,0),AK422,1),"")</f>
        <v>E</v>
      </c>
      <c r="AK422" s="3">
        <v>190</v>
      </c>
      <c r="AL422" s="3" t="str">
        <f>IFERROR(MID(VLOOKUP($B422,Seqs!$A:$B,2,0),AM422,1),"")</f>
        <v>P</v>
      </c>
      <c r="AM422" s="3">
        <v>236</v>
      </c>
      <c r="AN422" s="3" t="str">
        <f>IFERROR(MID(VLOOKUP($B422,Seqs!$A:$B,2,0),AO422,1),"")</f>
        <v>E</v>
      </c>
      <c r="AO422" s="3">
        <v>240</v>
      </c>
      <c r="AP422" s="3" t="str">
        <f>IFERROR(MID(VLOOKUP($B422,Seqs!$A:$B,2,0),AQ422,1),"")</f>
        <v>R</v>
      </c>
      <c r="AQ422" s="3">
        <v>271</v>
      </c>
      <c r="AR422" s="3" t="str">
        <f>IFERROR(MID(VLOOKUP($B422,Seqs!$A:$B,2,0),AS422,1),"")</f>
        <v>S</v>
      </c>
      <c r="AS422" s="3">
        <v>283</v>
      </c>
      <c r="AT422" s="3" t="str">
        <f>IFERROR(MID(VLOOKUP($B422,Seqs!$A:$B,2,0),AU422,1),"")</f>
        <v>F</v>
      </c>
      <c r="AU422" s="3">
        <v>311</v>
      </c>
      <c r="AV422" s="3" t="str">
        <f>IFERROR(MID(VLOOKUP($B422,Seqs!$A:$B,2,0),AW422,1),"")</f>
        <v>R</v>
      </c>
      <c r="AW422" s="3">
        <v>312</v>
      </c>
      <c r="AX422" s="3" t="str">
        <f>IFERROR(MID(VLOOKUP($B422,Seqs!$A:$B,2,0),AY422,1),"")</f>
        <v>S</v>
      </c>
      <c r="AY422" s="3">
        <v>331</v>
      </c>
      <c r="AZ422" s="77" t="str">
        <f>VLOOKUP(B422,Classification!A:D,2,0)</f>
        <v>A</v>
      </c>
      <c r="BA422" s="94" t="str">
        <f>VLOOKUP(B422,Classification!A:D,4,0)</f>
        <v>Prostanoid</v>
      </c>
      <c r="BB422" s="27" t="b">
        <f t="shared" ref="BB422:BB423" si="3887">AND(E422&lt;G422,OR(G422&lt;I422,I422="-"),OR(I422&lt;K422,I422="-"),OR(K422&lt;M422,K422="-"),M422&lt;O422,OR(O422&lt;Q422,Q422="-"),OR(Q422&lt;S422,Q422="-"),OR(S422&lt;U422,S422="-"),U422&lt;W422,OR(W422&lt;Y422,Y422="-"),OR(Y422&lt;AA422,Y422="-"),OR(AA422&lt;AC422,AA422="-"),AC422&lt;AE422,OR(AE422&lt;AG422,AG422="-"),OR(AG422&lt;AI422,AG422="-"),OR(AI422&lt;AK422,AI422="-"),AK422&lt;AM422,AM422&lt;AO422,AO422&lt;AQ422,AQ422&lt;AS422,AS422&lt;AU422,OR(AU422&lt;AW422,AW422="-"),OR(AW422&lt;AY422,AW422="-"))</f>
        <v>1</v>
      </c>
      <c r="BC422" s="23">
        <f t="shared" ref="BC422:BC423" si="3888">_xlfn.AGGREGATE(9,6,CH422:CS422)-_xlfn.AGGREGATE(9,6,BV422:CG422)+12</f>
        <v>265</v>
      </c>
      <c r="BD422" s="4" t="s">
        <v>23</v>
      </c>
      <c r="BE422" s="3" t="s">
        <v>23</v>
      </c>
      <c r="BF422" s="118" t="s">
        <v>23</v>
      </c>
      <c r="BG422" s="49" t="s">
        <v>1</v>
      </c>
      <c r="BH422" s="49" t="s">
        <v>1</v>
      </c>
      <c r="BI422" s="1"/>
      <c r="BJ422" s="70" t="s">
        <v>1283</v>
      </c>
      <c r="BK422" s="57" t="s">
        <v>1283</v>
      </c>
      <c r="BL422" s="57" t="s">
        <v>1283</v>
      </c>
      <c r="BM422" s="57" t="s">
        <v>1283</v>
      </c>
      <c r="BN422" s="57" t="s">
        <v>1283</v>
      </c>
      <c r="BO422" s="57" t="s">
        <v>1283</v>
      </c>
      <c r="BP422" s="57" t="s">
        <v>1283</v>
      </c>
      <c r="BQ422" s="57" t="s">
        <v>1283</v>
      </c>
      <c r="BR422" s="57" t="s">
        <v>1283</v>
      </c>
      <c r="BS422" s="57" t="s">
        <v>1283</v>
      </c>
      <c r="BT422" s="57" t="s">
        <v>1283</v>
      </c>
      <c r="BU422" s="57" t="s">
        <v>1283</v>
      </c>
      <c r="BV422" s="70">
        <f t="shared" ref="BV422:BV423" si="3889">E422</f>
        <v>27</v>
      </c>
      <c r="BW422" s="71" t="str">
        <f t="shared" ref="BW422:BW423" si="3890">I422</f>
        <v>-</v>
      </c>
      <c r="BX422" s="72">
        <f t="shared" ref="BX422:BX423" si="3891">M422</f>
        <v>61</v>
      </c>
      <c r="BY422" s="71">
        <f t="shared" ref="BY422:BY423" si="3892">Q422</f>
        <v>94</v>
      </c>
      <c r="BZ422" s="72">
        <f t="shared" ref="BZ422:BZ423" si="3893">U422</f>
        <v>102</v>
      </c>
      <c r="CA422" s="71">
        <f t="shared" ref="CA422:CA423" si="3894">Y422</f>
        <v>137</v>
      </c>
      <c r="CB422" s="72">
        <f t="shared" ref="CB422:CB423" si="3895">AC422</f>
        <v>145</v>
      </c>
      <c r="CC422" s="71">
        <f t="shared" ref="CC422:CC423" si="3896">AG422</f>
        <v>183</v>
      </c>
      <c r="CD422" s="72">
        <f t="shared" ref="CD422:CD423" si="3897">AK422</f>
        <v>190</v>
      </c>
      <c r="CE422" s="71">
        <f t="shared" ref="CE422:CE423" si="3898">AO422</f>
        <v>240</v>
      </c>
      <c r="CF422" s="72">
        <f t="shared" ref="CF422:CF423" si="3899">AS422</f>
        <v>283</v>
      </c>
      <c r="CG422" s="71">
        <f t="shared" ref="CG422:CG423" si="3900">AW422</f>
        <v>312</v>
      </c>
      <c r="CH422" s="70">
        <f t="shared" ref="CH422:CH423" si="3901">G422</f>
        <v>54</v>
      </c>
      <c r="CI422" s="71" t="str">
        <f t="shared" ref="CI422:CI423" si="3902">K422</f>
        <v>-</v>
      </c>
      <c r="CJ422" s="72">
        <f t="shared" ref="CJ422:CJ423" si="3903">O422</f>
        <v>91</v>
      </c>
      <c r="CK422" s="72">
        <f t="shared" ref="CK422:CK423" si="3904">S422</f>
        <v>98</v>
      </c>
      <c r="CL422" s="72">
        <f t="shared" ref="CL422:CL423" si="3905">W422</f>
        <v>136</v>
      </c>
      <c r="CM422" s="72">
        <f t="shared" ref="CM422:CM423" si="3906">AA422</f>
        <v>144</v>
      </c>
      <c r="CN422" s="72">
        <f t="shared" ref="CN422:CN423" si="3907">AE422</f>
        <v>170</v>
      </c>
      <c r="CO422" s="72">
        <f t="shared" ref="CO422:CO423" si="3908">AI422</f>
        <v>185</v>
      </c>
      <c r="CP422" s="72">
        <f t="shared" ref="CP422:CP423" si="3909">AM422</f>
        <v>236</v>
      </c>
      <c r="CQ422" s="72">
        <f t="shared" ref="CQ422:CQ423" si="3910">AQ422</f>
        <v>271</v>
      </c>
      <c r="CR422" s="72">
        <f t="shared" ref="CR422:CR423" si="3911">AU422</f>
        <v>311</v>
      </c>
      <c r="CS422" s="72">
        <f t="shared" ref="CS422:CS423" si="3912">AY422</f>
        <v>331</v>
      </c>
      <c r="CT422" s="23" t="e">
        <f t="shared" ref="CT422:CT423" si="3913">M422-K422</f>
        <v>#VALUE!</v>
      </c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6"/>
      <c r="ACQ422" s="6"/>
      <c r="ACR422" s="6"/>
      <c r="ACS422" s="6"/>
      <c r="ACT422" s="6"/>
      <c r="ACU422" s="6"/>
      <c r="ACV422" s="6"/>
      <c r="ACW422" s="6"/>
      <c r="ACX422" s="6"/>
      <c r="ACY422" s="6"/>
      <c r="ACZ422" s="6"/>
      <c r="ADA422" s="6"/>
      <c r="ADB422" s="6"/>
      <c r="ADC422" s="6"/>
      <c r="ADD422" s="6"/>
      <c r="ADE422" s="6"/>
      <c r="ADF422" s="6"/>
      <c r="ADG422" s="6"/>
      <c r="ADH422" s="6"/>
      <c r="ADI422" s="6"/>
      <c r="ADJ422" s="6"/>
      <c r="ADK422" s="6"/>
      <c r="ADL422" s="6"/>
      <c r="ADM422" s="6"/>
      <c r="ADN422" s="6"/>
      <c r="ADO422" s="6"/>
      <c r="ADP422" s="6"/>
      <c r="ADQ422" s="6"/>
      <c r="ADR422" s="6"/>
      <c r="ADS422" s="6"/>
      <c r="ADT422" s="6"/>
      <c r="ADU422" s="6"/>
      <c r="ADV422" s="6"/>
      <c r="ADW422" s="6"/>
      <c r="ADX422" s="6"/>
      <c r="ADY422" s="6"/>
      <c r="ADZ422" s="6"/>
      <c r="AEA422" s="6"/>
      <c r="AEB422" s="6"/>
      <c r="AEC422" s="6"/>
      <c r="AED422" s="6"/>
      <c r="AEE422" s="6"/>
      <c r="AEF422" s="6"/>
      <c r="AEG422" s="6"/>
      <c r="AEH422" s="6"/>
      <c r="AEI422" s="6"/>
      <c r="AEJ422" s="6"/>
      <c r="AEK422" s="6"/>
      <c r="AEL422" s="6"/>
      <c r="AEM422" s="6"/>
      <c r="AEN422" s="6"/>
      <c r="AEO422" s="6"/>
      <c r="AEP422" s="6"/>
      <c r="AEQ422" s="6"/>
      <c r="AER422" s="6"/>
      <c r="AES422" s="6"/>
      <c r="AET422" s="6"/>
      <c r="AEU422" s="6"/>
      <c r="AEV422" s="6"/>
      <c r="AEW422" s="6"/>
      <c r="AEX422" s="6"/>
      <c r="AEY422" s="6"/>
      <c r="AEZ422" s="6"/>
      <c r="AFA422" s="6"/>
      <c r="AFB422" s="6"/>
      <c r="AFC422" s="6"/>
      <c r="AFD422" s="6"/>
      <c r="AFE422" s="6"/>
      <c r="AFF422" s="6"/>
      <c r="AFG422" s="6"/>
      <c r="AFH422" s="6"/>
      <c r="AFI422" s="6"/>
      <c r="AFJ422" s="6"/>
      <c r="AFK422" s="6"/>
      <c r="AFL422" s="6"/>
      <c r="AFM422" s="6"/>
      <c r="AFN422" s="6"/>
      <c r="AFO422" s="6"/>
      <c r="AFP422" s="6"/>
      <c r="AFQ422" s="6"/>
      <c r="AFR422" s="6"/>
      <c r="AFS422" s="6"/>
      <c r="AFT422" s="6"/>
      <c r="AFU422" s="6"/>
      <c r="AFV422" s="6"/>
      <c r="AFW422" s="6"/>
      <c r="AFX422" s="6"/>
      <c r="AFY422" s="6"/>
      <c r="AFZ422" s="6"/>
      <c r="AGA422" s="6"/>
      <c r="AGB422" s="6"/>
      <c r="AGC422" s="6"/>
      <c r="AGD422" s="6"/>
      <c r="AGE422" s="6"/>
      <c r="AGF422" s="6"/>
      <c r="AGG422" s="6"/>
      <c r="AGH422" s="6"/>
      <c r="AGI422" s="6"/>
      <c r="AGJ422" s="6"/>
      <c r="AGK422" s="6"/>
      <c r="AGL422" s="6"/>
      <c r="AGM422" s="6"/>
      <c r="AGN422" s="6"/>
      <c r="AGO422" s="6"/>
      <c r="AGP422" s="6"/>
      <c r="AGQ422" s="6"/>
      <c r="AGR422" s="6"/>
      <c r="AGS422" s="6"/>
      <c r="AGT422" s="6"/>
      <c r="AGU422" s="6"/>
      <c r="AGV422" s="6"/>
      <c r="AGW422" s="6"/>
      <c r="AGX422" s="6"/>
      <c r="AGY422" s="6"/>
      <c r="AGZ422" s="6"/>
      <c r="AHA422" s="6"/>
      <c r="AHB422" s="6"/>
      <c r="AHC422" s="6"/>
      <c r="AHD422" s="6"/>
      <c r="AHE422" s="6"/>
      <c r="AHF422" s="6"/>
      <c r="AHG422" s="6"/>
      <c r="AHH422" s="6"/>
      <c r="AHI422" s="6"/>
      <c r="AHJ422" s="6"/>
      <c r="AHK422" s="6"/>
      <c r="AHL422" s="6"/>
      <c r="AHM422" s="6"/>
      <c r="AHN422" s="6"/>
      <c r="AHO422" s="6"/>
      <c r="AHP422" s="6"/>
      <c r="AHQ422" s="6"/>
      <c r="AHR422" s="6"/>
      <c r="AHS422" s="6"/>
      <c r="AHT422" s="6"/>
      <c r="AHU422" s="6"/>
      <c r="AHV422" s="6"/>
      <c r="AHW422" s="6"/>
      <c r="AHX422" s="6"/>
      <c r="AHY422" s="6"/>
      <c r="AHZ422" s="6"/>
      <c r="AIA422" s="6"/>
      <c r="AIB422" s="6"/>
      <c r="AIC422" s="6"/>
      <c r="AID422" s="6"/>
      <c r="AIE422" s="6"/>
      <c r="AIF422" s="6"/>
      <c r="AIG422" s="6"/>
      <c r="AIH422" s="6"/>
      <c r="AII422" s="6"/>
      <c r="AIJ422" s="6"/>
      <c r="AIK422" s="6"/>
      <c r="AIL422" s="6"/>
      <c r="AIM422" s="6"/>
      <c r="AIN422" s="6"/>
      <c r="AIO422" s="6"/>
      <c r="AIP422" s="6"/>
      <c r="AIQ422" s="6"/>
      <c r="AIR422" s="6"/>
      <c r="AIS422" s="6"/>
      <c r="AIT422" s="6"/>
      <c r="AIU422" s="6"/>
      <c r="AIV422" s="6"/>
      <c r="AIW422" s="6"/>
      <c r="AIX422" s="6"/>
      <c r="AIY422" s="6"/>
      <c r="AIZ422" s="6"/>
      <c r="AJA422" s="6"/>
      <c r="AJB422" s="6"/>
      <c r="AJC422" s="6"/>
      <c r="AJD422" s="6"/>
      <c r="AJE422" s="6"/>
      <c r="AJF422" s="6"/>
      <c r="AJG422" s="6"/>
      <c r="AJH422" s="6"/>
      <c r="AJI422" s="6"/>
      <c r="AJJ422" s="6"/>
      <c r="AJK422" s="6"/>
      <c r="AJL422" s="6"/>
      <c r="AJM422" s="6"/>
      <c r="AJN422" s="6"/>
      <c r="AJO422" s="6"/>
      <c r="AJP422" s="6"/>
      <c r="AJQ422" s="6"/>
      <c r="AJR422" s="6"/>
      <c r="AJS422" s="6"/>
      <c r="AJT422" s="6"/>
      <c r="AJU422" s="6"/>
      <c r="AJV422" s="6"/>
      <c r="AJW422" s="6"/>
      <c r="AJX422" s="6"/>
      <c r="AJY422" s="6"/>
      <c r="AJZ422" s="6"/>
      <c r="AKA422" s="6"/>
      <c r="AKB422" s="6"/>
      <c r="AKC422" s="6"/>
      <c r="AKD422" s="6"/>
      <c r="AKE422" s="6"/>
      <c r="AKF422" s="6"/>
      <c r="AKG422" s="6"/>
      <c r="AKH422" s="6"/>
      <c r="AKI422" s="6"/>
      <c r="AKJ422" s="6"/>
      <c r="AKK422" s="6"/>
      <c r="AKL422" s="6"/>
      <c r="AKM422" s="6"/>
      <c r="AKN422" s="6"/>
      <c r="AKO422" s="6"/>
      <c r="AKP422" s="6"/>
      <c r="AKQ422" s="6"/>
      <c r="AKR422" s="6"/>
      <c r="AKS422" s="6"/>
      <c r="AKT422" s="6"/>
      <c r="AKU422" s="6"/>
      <c r="AKV422" s="6"/>
      <c r="AKW422" s="6"/>
      <c r="AKX422" s="6"/>
      <c r="AKY422" s="6"/>
      <c r="AKZ422" s="6"/>
      <c r="ALA422" s="6"/>
      <c r="ALB422" s="6"/>
      <c r="ALC422" s="6"/>
      <c r="ALD422" s="6"/>
      <c r="ALE422" s="6"/>
      <c r="ALF422" s="6"/>
      <c r="ALG422" s="6"/>
      <c r="ALH422" s="6"/>
      <c r="ALI422" s="6"/>
      <c r="ALJ422" s="6"/>
      <c r="ALK422" s="6"/>
      <c r="ALL422" s="6"/>
      <c r="ALM422" s="6"/>
      <c r="ALN422" s="6"/>
      <c r="ALO422" s="6"/>
      <c r="ALP422" s="6"/>
      <c r="ALQ422" s="6"/>
      <c r="ALR422" s="6"/>
      <c r="ALS422" s="6"/>
      <c r="ALT422" s="6"/>
      <c r="ALU422" s="6"/>
      <c r="ALV422" s="6"/>
      <c r="ALW422" s="6"/>
      <c r="ALX422" s="6"/>
      <c r="ALY422" s="6"/>
      <c r="ALZ422" s="6"/>
      <c r="AMA422" s="6"/>
      <c r="AMB422" s="6"/>
      <c r="AMC422" s="6"/>
      <c r="AMD422" s="6"/>
      <c r="AME422" s="6"/>
      <c r="AMF422" s="6"/>
      <c r="AMG422" s="6"/>
      <c r="AMH422" s="6"/>
      <c r="AMI422" s="6"/>
      <c r="AMJ422" s="6"/>
      <c r="AMK422" s="6"/>
      <c r="AML422" s="6"/>
      <c r="AMM422" s="6"/>
      <c r="AMN422" s="6"/>
      <c r="AMO422" s="6"/>
      <c r="AMP422" s="6"/>
    </row>
    <row r="423" spans="1:1030" x14ac:dyDescent="0.2">
      <c r="A423" s="3" t="str">
        <f t="shared" si="3886"/>
        <v>ta2r_human_6IIU</v>
      </c>
      <c r="B423" s="2" t="s">
        <v>469</v>
      </c>
      <c r="C423" s="3" t="s">
        <v>1544</v>
      </c>
      <c r="D423" s="3" t="str">
        <f>IFERROR(MID(VLOOKUP($B423,Seqs!$A:$B,2,0),E423,1),"")</f>
        <v>S</v>
      </c>
      <c r="E423" s="3">
        <v>27</v>
      </c>
      <c r="F423" s="3" t="str">
        <f>IFERROR(MID(VLOOKUP($B423,Seqs!$A:$B,2,0),G423,1),"")</f>
        <v>A</v>
      </c>
      <c r="G423" s="3">
        <v>52</v>
      </c>
      <c r="H423" s="3" t="str">
        <f>IFERROR(MID(VLOOKUP($B423,Seqs!$A:$B,2,0),I423,1),"")</f>
        <v/>
      </c>
      <c r="I423" s="23" t="s">
        <v>23</v>
      </c>
      <c r="J423" s="3" t="str">
        <f>IFERROR(MID(VLOOKUP($B423,Seqs!$A:$B,2,0),K423,1),"")</f>
        <v/>
      </c>
      <c r="K423" s="23" t="s">
        <v>23</v>
      </c>
      <c r="L423" s="3" t="str">
        <f>IFERROR(MID(VLOOKUP($B423,Seqs!$A:$B,2,0),M423,1),"")</f>
        <v>S</v>
      </c>
      <c r="M423" s="3">
        <v>61</v>
      </c>
      <c r="N423" s="3" t="str">
        <f>IFERROR(MID(VLOOKUP($B423,Seqs!$A:$B,2,0),O423,1),"")</f>
        <v>A</v>
      </c>
      <c r="O423" s="3">
        <v>91</v>
      </c>
      <c r="P423" s="3" t="str">
        <f>IFERROR(MID(VLOOKUP($B423,Seqs!$A:$B,2,0),Q423,1),"")</f>
        <v>E</v>
      </c>
      <c r="Q423" s="3">
        <v>94</v>
      </c>
      <c r="R423" s="3" t="str">
        <f>IFERROR(MID(VLOOKUP($B423,Seqs!$A:$B,2,0),S423,1),"")</f>
        <v>V</v>
      </c>
      <c r="S423" s="3">
        <v>98</v>
      </c>
      <c r="T423" s="3" t="str">
        <f>IFERROR(MID(VLOOKUP($B423,Seqs!$A:$B,2,0),U423,1),"")</f>
        <v>C</v>
      </c>
      <c r="U423" s="3">
        <v>102</v>
      </c>
      <c r="V423" s="3" t="str">
        <f>IFERROR(MID(VLOOKUP($B423,Seqs!$A:$B,2,0),W423,1),"")</f>
        <v>R</v>
      </c>
      <c r="W423" s="3">
        <v>136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A</v>
      </c>
      <c r="AC423" s="3">
        <v>142</v>
      </c>
      <c r="AD423" s="3" t="str">
        <f>IFERROR(MID(VLOOKUP($B423,Seqs!$A:$B,2,0),AE423,1),"")</f>
        <v>L</v>
      </c>
      <c r="AE423" s="3">
        <v>169</v>
      </c>
      <c r="AF423" s="3" t="str">
        <f>IFERROR(MID(VLOOKUP($B423,Seqs!$A:$B,2,0),AG423,1),"")</f>
        <v>C</v>
      </c>
      <c r="AG423" s="3">
        <v>183</v>
      </c>
      <c r="AH423" s="3" t="str">
        <f>IFERROR(MID(VLOOKUP($B423,Seqs!$A:$B,2,0),AI423,1),"")</f>
        <v>L</v>
      </c>
      <c r="AI423" s="3">
        <v>185</v>
      </c>
      <c r="AJ423" s="3" t="str">
        <f>IFERROR(MID(VLOOKUP($B423,Seqs!$A:$B,2,0),AK423,1),"")</f>
        <v>E</v>
      </c>
      <c r="AK423" s="3">
        <v>190</v>
      </c>
      <c r="AL423" s="3" t="str">
        <f>IFERROR(MID(VLOOKUP($B423,Seqs!$A:$B,2,0),AM423,1),"")</f>
        <v>Y</v>
      </c>
      <c r="AM423" s="3">
        <v>226</v>
      </c>
      <c r="AN423" s="3" t="str">
        <f>IFERROR(MID(VLOOKUP($B423,Seqs!$A:$B,2,0),AO423,1),"")</f>
        <v>R</v>
      </c>
      <c r="AO423" s="3">
        <v>237</v>
      </c>
      <c r="AP423" s="3" t="str">
        <f>IFERROR(MID(VLOOKUP($B423,Seqs!$A:$B,2,0),AQ423,1),"")</f>
        <v>R</v>
      </c>
      <c r="AQ423" s="3">
        <v>271</v>
      </c>
      <c r="AR423" s="3" t="str">
        <f>IFERROR(MID(VLOOKUP($B423,Seqs!$A:$B,2,0),AS423,1),"")</f>
        <v>S</v>
      </c>
      <c r="AS423" s="3">
        <v>283</v>
      </c>
      <c r="AT423" s="3" t="str">
        <f>IFERROR(MID(VLOOKUP($B423,Seqs!$A:$B,2,0),AU423,1),"")</f>
        <v>F</v>
      </c>
      <c r="AU423" s="3">
        <v>311</v>
      </c>
      <c r="AV423" s="3" t="str">
        <f>IFERROR(MID(VLOOKUP($B423,Seqs!$A:$B,2,0),AW423,1),"")</f>
        <v>R</v>
      </c>
      <c r="AW423" s="3">
        <v>312</v>
      </c>
      <c r="AX423" s="3" t="str">
        <f>IFERROR(MID(VLOOKUP($B423,Seqs!$A:$B,2,0),AY423,1),"")</f>
        <v>Q</v>
      </c>
      <c r="AY423" s="3">
        <v>320</v>
      </c>
      <c r="AZ423" s="77" t="str">
        <f>VLOOKUP(B423,Classification!A:D,2,0)</f>
        <v>A</v>
      </c>
      <c r="BA423" s="94" t="str">
        <f>VLOOKUP(B423,Classification!A:D,4,0)</f>
        <v>Prostanoid</v>
      </c>
      <c r="BB423" s="27" t="b">
        <f t="shared" si="3887"/>
        <v>1</v>
      </c>
      <c r="BC423" s="23">
        <f t="shared" si="3888"/>
        <v>240</v>
      </c>
      <c r="BD423" s="4" t="s">
        <v>23</v>
      </c>
      <c r="BE423" s="3" t="s">
        <v>1370</v>
      </c>
      <c r="BF423" s="118">
        <v>2.5</v>
      </c>
      <c r="BG423" s="49" t="s">
        <v>1</v>
      </c>
      <c r="BH423" s="49" t="s">
        <v>1</v>
      </c>
      <c r="BI423" s="1"/>
      <c r="BJ423" s="70" t="s">
        <v>1283</v>
      </c>
      <c r="BK423" s="57" t="s">
        <v>1283</v>
      </c>
      <c r="BL423" s="57" t="s">
        <v>1283</v>
      </c>
      <c r="BM423" s="57" t="s">
        <v>1283</v>
      </c>
      <c r="BN423" s="57" t="s">
        <v>1283</v>
      </c>
      <c r="BO423" s="57" t="s">
        <v>1283</v>
      </c>
      <c r="BP423" s="57" t="s">
        <v>1283</v>
      </c>
      <c r="BQ423" s="57" t="s">
        <v>1283</v>
      </c>
      <c r="BR423" s="57" t="s">
        <v>1283</v>
      </c>
      <c r="BS423" s="57" t="s">
        <v>1283</v>
      </c>
      <c r="BT423" s="57" t="s">
        <v>1283</v>
      </c>
      <c r="BU423" s="57" t="s">
        <v>1283</v>
      </c>
      <c r="BV423" s="70">
        <f t="shared" si="3889"/>
        <v>27</v>
      </c>
      <c r="BW423" s="71" t="str">
        <f t="shared" si="3890"/>
        <v>-</v>
      </c>
      <c r="BX423" s="72">
        <f t="shared" si="3891"/>
        <v>61</v>
      </c>
      <c r="BY423" s="71">
        <f t="shared" si="3892"/>
        <v>94</v>
      </c>
      <c r="BZ423" s="72">
        <f t="shared" si="3893"/>
        <v>102</v>
      </c>
      <c r="CA423" s="71" t="str">
        <f t="shared" si="3894"/>
        <v>-</v>
      </c>
      <c r="CB423" s="72">
        <f t="shared" si="3895"/>
        <v>142</v>
      </c>
      <c r="CC423" s="71">
        <f t="shared" si="3896"/>
        <v>183</v>
      </c>
      <c r="CD423" s="72">
        <f t="shared" si="3897"/>
        <v>190</v>
      </c>
      <c r="CE423" s="71">
        <f t="shared" si="3898"/>
        <v>237</v>
      </c>
      <c r="CF423" s="72">
        <f t="shared" si="3899"/>
        <v>283</v>
      </c>
      <c r="CG423" s="71">
        <f t="shared" si="3900"/>
        <v>312</v>
      </c>
      <c r="CH423" s="70">
        <f t="shared" si="3901"/>
        <v>52</v>
      </c>
      <c r="CI423" s="71" t="str">
        <f t="shared" si="3902"/>
        <v>-</v>
      </c>
      <c r="CJ423" s="72">
        <f t="shared" si="3903"/>
        <v>91</v>
      </c>
      <c r="CK423" s="72">
        <f t="shared" si="3904"/>
        <v>98</v>
      </c>
      <c r="CL423" s="72">
        <f t="shared" si="3905"/>
        <v>136</v>
      </c>
      <c r="CM423" s="72" t="str">
        <f t="shared" si="3906"/>
        <v>-</v>
      </c>
      <c r="CN423" s="72">
        <f t="shared" si="3907"/>
        <v>169</v>
      </c>
      <c r="CO423" s="72">
        <f t="shared" si="3908"/>
        <v>185</v>
      </c>
      <c r="CP423" s="72">
        <f t="shared" si="3909"/>
        <v>226</v>
      </c>
      <c r="CQ423" s="72">
        <f t="shared" si="3910"/>
        <v>271</v>
      </c>
      <c r="CR423" s="72">
        <f t="shared" si="3911"/>
        <v>311</v>
      </c>
      <c r="CS423" s="72">
        <f t="shared" si="3912"/>
        <v>320</v>
      </c>
      <c r="CT423" s="23" t="e">
        <f t="shared" si="3913"/>
        <v>#VALUE!</v>
      </c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6"/>
      <c r="ACQ423" s="6"/>
      <c r="ACR423" s="6"/>
      <c r="ACS423" s="6"/>
      <c r="ACT423" s="6"/>
      <c r="ACU423" s="6"/>
      <c r="ACV423" s="6"/>
      <c r="ACW423" s="6"/>
      <c r="ACX423" s="6"/>
      <c r="ACY423" s="6"/>
      <c r="ACZ423" s="6"/>
      <c r="ADA423" s="6"/>
      <c r="ADB423" s="6"/>
      <c r="ADC423" s="6"/>
      <c r="ADD423" s="6"/>
      <c r="ADE423" s="6"/>
      <c r="ADF423" s="6"/>
      <c r="ADG423" s="6"/>
      <c r="ADH423" s="6"/>
      <c r="ADI423" s="6"/>
      <c r="ADJ423" s="6"/>
      <c r="ADK423" s="6"/>
      <c r="ADL423" s="6"/>
      <c r="ADM423" s="6"/>
      <c r="ADN423" s="6"/>
      <c r="ADO423" s="6"/>
      <c r="ADP423" s="6"/>
      <c r="ADQ423" s="6"/>
      <c r="ADR423" s="6"/>
      <c r="ADS423" s="6"/>
      <c r="ADT423" s="6"/>
      <c r="ADU423" s="6"/>
      <c r="ADV423" s="6"/>
      <c r="ADW423" s="6"/>
      <c r="ADX423" s="6"/>
      <c r="ADY423" s="6"/>
      <c r="ADZ423" s="6"/>
      <c r="AEA423" s="6"/>
      <c r="AEB423" s="6"/>
      <c r="AEC423" s="6"/>
      <c r="AED423" s="6"/>
      <c r="AEE423" s="6"/>
      <c r="AEF423" s="6"/>
      <c r="AEG423" s="6"/>
      <c r="AEH423" s="6"/>
      <c r="AEI423" s="6"/>
      <c r="AEJ423" s="6"/>
      <c r="AEK423" s="6"/>
      <c r="AEL423" s="6"/>
      <c r="AEM423" s="6"/>
      <c r="AEN423" s="6"/>
      <c r="AEO423" s="6"/>
      <c r="AEP423" s="6"/>
      <c r="AEQ423" s="6"/>
      <c r="AER423" s="6"/>
      <c r="AES423" s="6"/>
      <c r="AET423" s="6"/>
      <c r="AEU423" s="6"/>
      <c r="AEV423" s="6"/>
      <c r="AEW423" s="6"/>
      <c r="AEX423" s="6"/>
      <c r="AEY423" s="6"/>
      <c r="AEZ423" s="6"/>
      <c r="AFA423" s="6"/>
      <c r="AFB423" s="6"/>
      <c r="AFC423" s="6"/>
      <c r="AFD423" s="6"/>
      <c r="AFE423" s="6"/>
      <c r="AFF423" s="6"/>
      <c r="AFG423" s="6"/>
      <c r="AFH423" s="6"/>
      <c r="AFI423" s="6"/>
      <c r="AFJ423" s="6"/>
      <c r="AFK423" s="6"/>
      <c r="AFL423" s="6"/>
      <c r="AFM423" s="6"/>
      <c r="AFN423" s="6"/>
      <c r="AFO423" s="6"/>
      <c r="AFP423" s="6"/>
      <c r="AFQ423" s="6"/>
      <c r="AFR423" s="6"/>
      <c r="AFS423" s="6"/>
      <c r="AFT423" s="6"/>
      <c r="AFU423" s="6"/>
      <c r="AFV423" s="6"/>
      <c r="AFW423" s="6"/>
      <c r="AFX423" s="6"/>
      <c r="AFY423" s="6"/>
      <c r="AFZ423" s="6"/>
      <c r="AGA423" s="6"/>
      <c r="AGB423" s="6"/>
      <c r="AGC423" s="6"/>
      <c r="AGD423" s="6"/>
      <c r="AGE423" s="6"/>
      <c r="AGF423" s="6"/>
      <c r="AGG423" s="6"/>
      <c r="AGH423" s="6"/>
      <c r="AGI423" s="6"/>
      <c r="AGJ423" s="6"/>
      <c r="AGK423" s="6"/>
      <c r="AGL423" s="6"/>
      <c r="AGM423" s="6"/>
      <c r="AGN423" s="6"/>
      <c r="AGO423" s="6"/>
      <c r="AGP423" s="6"/>
      <c r="AGQ423" s="6"/>
      <c r="AGR423" s="6"/>
      <c r="AGS423" s="6"/>
      <c r="AGT423" s="6"/>
      <c r="AGU423" s="6"/>
      <c r="AGV423" s="6"/>
      <c r="AGW423" s="6"/>
      <c r="AGX423" s="6"/>
      <c r="AGY423" s="6"/>
      <c r="AGZ423" s="6"/>
      <c r="AHA423" s="6"/>
      <c r="AHB423" s="6"/>
      <c r="AHC423" s="6"/>
      <c r="AHD423" s="6"/>
      <c r="AHE423" s="6"/>
      <c r="AHF423" s="6"/>
      <c r="AHG423" s="6"/>
      <c r="AHH423" s="6"/>
      <c r="AHI423" s="6"/>
      <c r="AHJ423" s="6"/>
      <c r="AHK423" s="6"/>
      <c r="AHL423" s="6"/>
      <c r="AHM423" s="6"/>
      <c r="AHN423" s="6"/>
      <c r="AHO423" s="6"/>
      <c r="AHP423" s="6"/>
      <c r="AHQ423" s="6"/>
      <c r="AHR423" s="6"/>
      <c r="AHS423" s="6"/>
      <c r="AHT423" s="6"/>
      <c r="AHU423" s="6"/>
      <c r="AHV423" s="6"/>
      <c r="AHW423" s="6"/>
      <c r="AHX423" s="6"/>
      <c r="AHY423" s="6"/>
      <c r="AHZ423" s="6"/>
      <c r="AIA423" s="6"/>
      <c r="AIB423" s="6"/>
      <c r="AIC423" s="6"/>
      <c r="AID423" s="6"/>
      <c r="AIE423" s="6"/>
      <c r="AIF423" s="6"/>
      <c r="AIG423" s="6"/>
      <c r="AIH423" s="6"/>
      <c r="AII423" s="6"/>
      <c r="AIJ423" s="6"/>
      <c r="AIK423" s="6"/>
      <c r="AIL423" s="6"/>
      <c r="AIM423" s="6"/>
      <c r="AIN423" s="6"/>
      <c r="AIO423" s="6"/>
      <c r="AIP423" s="6"/>
      <c r="AIQ423" s="6"/>
      <c r="AIR423" s="6"/>
      <c r="AIS423" s="6"/>
      <c r="AIT423" s="6"/>
      <c r="AIU423" s="6"/>
      <c r="AIV423" s="6"/>
      <c r="AIW423" s="6"/>
      <c r="AIX423" s="6"/>
      <c r="AIY423" s="6"/>
      <c r="AIZ423" s="6"/>
      <c r="AJA423" s="6"/>
      <c r="AJB423" s="6"/>
      <c r="AJC423" s="6"/>
      <c r="AJD423" s="6"/>
      <c r="AJE423" s="6"/>
      <c r="AJF423" s="6"/>
      <c r="AJG423" s="6"/>
      <c r="AJH423" s="6"/>
      <c r="AJI423" s="6"/>
      <c r="AJJ423" s="6"/>
      <c r="AJK423" s="6"/>
      <c r="AJL423" s="6"/>
      <c r="AJM423" s="6"/>
      <c r="AJN423" s="6"/>
      <c r="AJO423" s="6"/>
      <c r="AJP423" s="6"/>
      <c r="AJQ423" s="6"/>
      <c r="AJR423" s="6"/>
      <c r="AJS423" s="6"/>
      <c r="AJT423" s="6"/>
      <c r="AJU423" s="6"/>
      <c r="AJV423" s="6"/>
      <c r="AJW423" s="6"/>
      <c r="AJX423" s="6"/>
      <c r="AJY423" s="6"/>
      <c r="AJZ423" s="6"/>
      <c r="AKA423" s="6"/>
      <c r="AKB423" s="6"/>
      <c r="AKC423" s="6"/>
      <c r="AKD423" s="6"/>
      <c r="AKE423" s="6"/>
      <c r="AKF423" s="6"/>
      <c r="AKG423" s="6"/>
      <c r="AKH423" s="6"/>
      <c r="AKI423" s="6"/>
      <c r="AKJ423" s="6"/>
      <c r="AKK423" s="6"/>
      <c r="AKL423" s="6"/>
      <c r="AKM423" s="6"/>
      <c r="AKN423" s="6"/>
      <c r="AKO423" s="6"/>
      <c r="AKP423" s="6"/>
      <c r="AKQ423" s="6"/>
      <c r="AKR423" s="6"/>
      <c r="AKS423" s="6"/>
      <c r="AKT423" s="6"/>
      <c r="AKU423" s="6"/>
      <c r="AKV423" s="6"/>
      <c r="AKW423" s="6"/>
      <c r="AKX423" s="6"/>
      <c r="AKY423" s="6"/>
      <c r="AKZ423" s="6"/>
      <c r="ALA423" s="6"/>
      <c r="ALB423" s="6"/>
      <c r="ALC423" s="6"/>
      <c r="ALD423" s="6"/>
      <c r="ALE423" s="6"/>
      <c r="ALF423" s="6"/>
      <c r="ALG423" s="6"/>
      <c r="ALH423" s="6"/>
      <c r="ALI423" s="6"/>
      <c r="ALJ423" s="6"/>
      <c r="ALK423" s="6"/>
      <c r="ALL423" s="6"/>
      <c r="ALM423" s="6"/>
      <c r="ALN423" s="6"/>
      <c r="ALO423" s="6"/>
      <c r="ALP423" s="6"/>
      <c r="ALQ423" s="6"/>
      <c r="ALR423" s="6"/>
      <c r="ALS423" s="6"/>
      <c r="ALT423" s="6"/>
      <c r="ALU423" s="6"/>
      <c r="ALV423" s="6"/>
      <c r="ALW423" s="6"/>
      <c r="ALX423" s="6"/>
      <c r="ALY423" s="6"/>
      <c r="ALZ423" s="6"/>
      <c r="AMA423" s="6"/>
      <c r="AMB423" s="6"/>
      <c r="AMC423" s="6"/>
      <c r="AMD423" s="6"/>
      <c r="AME423" s="6"/>
      <c r="AMF423" s="6"/>
      <c r="AMG423" s="6"/>
      <c r="AMH423" s="6"/>
      <c r="AMI423" s="6"/>
      <c r="AMJ423" s="6"/>
      <c r="AMK423" s="6"/>
      <c r="AML423" s="6"/>
      <c r="AMM423" s="6"/>
      <c r="AMN423" s="6"/>
      <c r="AMO423" s="6"/>
      <c r="AMP423" s="6"/>
    </row>
    <row r="424" spans="1:1030" x14ac:dyDescent="0.2">
      <c r="A424" s="3" t="str">
        <f t="shared" ref="A424" si="3914">CONCATENATE(B424,"_",C424)</f>
        <v>ta2r_human_6IIV</v>
      </c>
      <c r="B424" s="2" t="s">
        <v>469</v>
      </c>
      <c r="C424" s="3" t="s">
        <v>1545</v>
      </c>
      <c r="D424" s="3" t="str">
        <f>IFERROR(MID(VLOOKUP($B424,Seqs!$A:$B,2,0),E424,1),"")</f>
        <v>S</v>
      </c>
      <c r="E424" s="3">
        <v>27</v>
      </c>
      <c r="F424" s="3" t="str">
        <f>IFERROR(MID(VLOOKUP($B424,Seqs!$A:$B,2,0),G424,1),"")</f>
        <v>R</v>
      </c>
      <c r="G424" s="3">
        <v>53</v>
      </c>
      <c r="H424" s="3" t="str">
        <f>IFERROR(MID(VLOOKUP($B424,Seqs!$A:$B,2,0),I424,1),"")</f>
        <v/>
      </c>
      <c r="I424" s="23" t="s">
        <v>23</v>
      </c>
      <c r="J424" s="3" t="str">
        <f>IFERROR(MID(VLOOKUP($B424,Seqs!$A:$B,2,0),K424,1),"")</f>
        <v/>
      </c>
      <c r="K424" s="23" t="s">
        <v>23</v>
      </c>
      <c r="L424" s="3" t="str">
        <f>IFERROR(MID(VLOOKUP($B424,Seqs!$A:$B,2,0),M424,1),"")</f>
        <v>S</v>
      </c>
      <c r="M424" s="3">
        <v>61</v>
      </c>
      <c r="N424" s="3" t="str">
        <f>IFERROR(MID(VLOOKUP($B424,Seqs!$A:$B,2,0),O424,1),"")</f>
        <v>A</v>
      </c>
      <c r="O424" s="3">
        <v>91</v>
      </c>
      <c r="P424" s="3" t="str">
        <f>IFERROR(MID(VLOOKUP($B424,Seqs!$A:$B,2,0),Q424,1),"")</f>
        <v>E</v>
      </c>
      <c r="Q424" s="3">
        <v>94</v>
      </c>
      <c r="R424" s="3" t="str">
        <f>IFERROR(MID(VLOOKUP($B424,Seqs!$A:$B,2,0),S424,1),"")</f>
        <v>V</v>
      </c>
      <c r="S424" s="3">
        <v>98</v>
      </c>
      <c r="T424" s="3" t="str">
        <f>IFERROR(MID(VLOOKUP($B424,Seqs!$A:$B,2,0),U424,1),"")</f>
        <v>C</v>
      </c>
      <c r="U424" s="3">
        <v>102</v>
      </c>
      <c r="V424" s="3" t="str">
        <f>IFERROR(MID(VLOOKUP($B424,Seqs!$A:$B,2,0),W424,1),"")</f>
        <v>R</v>
      </c>
      <c r="W424" s="3">
        <v>136</v>
      </c>
      <c r="X424" s="3" t="str">
        <f>IFERROR(MID(VLOOKUP($B424,Seqs!$A:$B,2,0),Y424,1),"")</f>
        <v/>
      </c>
      <c r="Y424" s="3" t="s">
        <v>23</v>
      </c>
      <c r="Z424" s="3" t="str">
        <f>IFERROR(MID(VLOOKUP($B424,Seqs!$A:$B,2,0),AA424,1),"")</f>
        <v/>
      </c>
      <c r="AA424" s="3" t="s">
        <v>23</v>
      </c>
      <c r="AB424" s="3" t="str">
        <f>IFERROR(MID(VLOOKUP($B424,Seqs!$A:$B,2,0),AC424,1),"")</f>
        <v>P</v>
      </c>
      <c r="AC424" s="3">
        <v>141</v>
      </c>
      <c r="AD424" s="3" t="str">
        <f>IFERROR(MID(VLOOKUP($B424,Seqs!$A:$B,2,0),AE424,1),"")</f>
        <v>G</v>
      </c>
      <c r="AE424" s="3">
        <v>170</v>
      </c>
      <c r="AF424" s="3" t="str">
        <f>IFERROR(MID(VLOOKUP($B424,Seqs!$A:$B,2,0),AG424,1),"")</f>
        <v>C</v>
      </c>
      <c r="AG424" s="3">
        <v>183</v>
      </c>
      <c r="AH424" s="3" t="str">
        <f>IFERROR(MID(VLOOKUP($B424,Seqs!$A:$B,2,0),AI424,1),"")</f>
        <v>L</v>
      </c>
      <c r="AI424" s="3">
        <v>185</v>
      </c>
      <c r="AJ424" s="3" t="str">
        <f>IFERROR(MID(VLOOKUP($B424,Seqs!$A:$B,2,0),AK424,1),"")</f>
        <v>E</v>
      </c>
      <c r="AK424" s="3">
        <v>190</v>
      </c>
      <c r="AL424" s="3" t="str">
        <f>IFERROR(MID(VLOOKUP($B424,Seqs!$A:$B,2,0),AM424,1),"")</f>
        <v>Y</v>
      </c>
      <c r="AM424" s="3">
        <v>226</v>
      </c>
      <c r="AN424" s="3" t="str">
        <f>IFERROR(MID(VLOOKUP($B424,Seqs!$A:$B,2,0),AO424,1),"")</f>
        <v>R</v>
      </c>
      <c r="AO424" s="3">
        <v>237</v>
      </c>
      <c r="AP424" s="3" t="str">
        <f>IFERROR(MID(VLOOKUP($B424,Seqs!$A:$B,2,0),AQ424,1),"")</f>
        <v>R</v>
      </c>
      <c r="AQ424" s="3">
        <v>271</v>
      </c>
      <c r="AR424" s="3" t="str">
        <f>IFERROR(MID(VLOOKUP($B424,Seqs!$A:$B,2,0),AS424,1),"")</f>
        <v>S</v>
      </c>
      <c r="AS424" s="3">
        <v>283</v>
      </c>
      <c r="AT424" s="3" t="str">
        <f>IFERROR(MID(VLOOKUP($B424,Seqs!$A:$B,2,0),AU424,1),"")</f>
        <v>F</v>
      </c>
      <c r="AU424" s="3">
        <v>311</v>
      </c>
      <c r="AV424" s="3" t="str">
        <f>IFERROR(MID(VLOOKUP($B424,Seqs!$A:$B,2,0),AW424,1),"")</f>
        <v>R</v>
      </c>
      <c r="AW424" s="3">
        <v>312</v>
      </c>
      <c r="AX424" s="3" t="str">
        <f>IFERROR(MID(VLOOKUP($B424,Seqs!$A:$B,2,0),AY424,1),"")</f>
        <v>L</v>
      </c>
      <c r="AY424" s="3">
        <v>319</v>
      </c>
      <c r="AZ424" s="77" t="str">
        <f>VLOOKUP(B424,Classification!A:D,2,0)</f>
        <v>A</v>
      </c>
      <c r="BA424" s="94" t="str">
        <f>VLOOKUP(B424,Classification!A:D,4,0)</f>
        <v>Prostanoid</v>
      </c>
      <c r="BB424" s="27" t="b">
        <f t="shared" ref="BB424" si="3915">AND(E424&lt;G424,OR(G424&lt;I424,I424="-"),OR(I424&lt;K424,I424="-"),OR(K424&lt;M424,K424="-"),M424&lt;O424,OR(O424&lt;Q424,Q424="-"),OR(Q424&lt;S424,Q424="-"),OR(S424&lt;U424,S424="-"),U424&lt;W424,OR(W424&lt;Y424,Y424="-"),OR(Y424&lt;AA424,Y424="-"),OR(AA424&lt;AC424,AA424="-"),AC424&lt;AE424,OR(AE424&lt;AG424,AG424="-"),OR(AG424&lt;AI424,AG424="-"),OR(AI424&lt;AK424,AI424="-"),AK424&lt;AM424,AM424&lt;AO424,AO424&lt;AQ424,AQ424&lt;AS424,AS424&lt;AU424,OR(AU424&lt;AW424,AW424="-"),OR(AW424&lt;AY424,AW424="-"))</f>
        <v>1</v>
      </c>
      <c r="BC424" s="23">
        <f t="shared" ref="BC424" si="3916">_xlfn.AGGREGATE(9,6,CH424:CS424)-_xlfn.AGGREGATE(9,6,BV424:CG424)+12</f>
        <v>242</v>
      </c>
      <c r="BD424" s="4" t="s">
        <v>1372</v>
      </c>
      <c r="BE424" s="3" t="s">
        <v>1370</v>
      </c>
      <c r="BF424" s="118">
        <v>3</v>
      </c>
      <c r="BG424" s="49" t="s">
        <v>1</v>
      </c>
      <c r="BH424" s="49" t="s">
        <v>1</v>
      </c>
      <c r="BI424" s="1"/>
      <c r="BJ424" s="70" t="s">
        <v>1283</v>
      </c>
      <c r="BK424" s="57" t="s">
        <v>1283</v>
      </c>
      <c r="BL424" s="57" t="s">
        <v>1283</v>
      </c>
      <c r="BM424" s="57" t="s">
        <v>1283</v>
      </c>
      <c r="BN424" s="57" t="s">
        <v>1283</v>
      </c>
      <c r="BO424" s="57" t="s">
        <v>1283</v>
      </c>
      <c r="BP424" s="57" t="s">
        <v>1283</v>
      </c>
      <c r="BQ424" s="57" t="s">
        <v>1283</v>
      </c>
      <c r="BR424" s="57" t="s">
        <v>1283</v>
      </c>
      <c r="BS424" s="57" t="s">
        <v>1283</v>
      </c>
      <c r="BT424" s="57" t="s">
        <v>1283</v>
      </c>
      <c r="BU424" s="57" t="s">
        <v>1283</v>
      </c>
      <c r="BV424" s="70">
        <f t="shared" ref="BV424" si="3917">E424</f>
        <v>27</v>
      </c>
      <c r="BW424" s="71" t="str">
        <f t="shared" ref="BW424" si="3918">I424</f>
        <v>-</v>
      </c>
      <c r="BX424" s="72">
        <f t="shared" ref="BX424" si="3919">M424</f>
        <v>61</v>
      </c>
      <c r="BY424" s="71">
        <f t="shared" ref="BY424" si="3920">Q424</f>
        <v>94</v>
      </c>
      <c r="BZ424" s="72">
        <f t="shared" ref="BZ424" si="3921">U424</f>
        <v>102</v>
      </c>
      <c r="CA424" s="71" t="str">
        <f t="shared" ref="CA424" si="3922">Y424</f>
        <v>-</v>
      </c>
      <c r="CB424" s="72">
        <f t="shared" ref="CB424" si="3923">AC424</f>
        <v>141</v>
      </c>
      <c r="CC424" s="71">
        <f t="shared" ref="CC424" si="3924">AG424</f>
        <v>183</v>
      </c>
      <c r="CD424" s="72">
        <f t="shared" ref="CD424" si="3925">AK424</f>
        <v>190</v>
      </c>
      <c r="CE424" s="71">
        <f t="shared" ref="CE424" si="3926">AO424</f>
        <v>237</v>
      </c>
      <c r="CF424" s="72">
        <f t="shared" ref="CF424" si="3927">AS424</f>
        <v>283</v>
      </c>
      <c r="CG424" s="71">
        <f t="shared" ref="CG424" si="3928">AW424</f>
        <v>312</v>
      </c>
      <c r="CH424" s="70">
        <f t="shared" ref="CH424" si="3929">G424</f>
        <v>53</v>
      </c>
      <c r="CI424" s="71" t="str">
        <f t="shared" ref="CI424" si="3930">K424</f>
        <v>-</v>
      </c>
      <c r="CJ424" s="72">
        <f t="shared" ref="CJ424" si="3931">O424</f>
        <v>91</v>
      </c>
      <c r="CK424" s="72">
        <f t="shared" ref="CK424" si="3932">S424</f>
        <v>98</v>
      </c>
      <c r="CL424" s="72">
        <f t="shared" ref="CL424" si="3933">W424</f>
        <v>136</v>
      </c>
      <c r="CM424" s="72" t="str">
        <f t="shared" ref="CM424" si="3934">AA424</f>
        <v>-</v>
      </c>
      <c r="CN424" s="72">
        <f t="shared" ref="CN424" si="3935">AE424</f>
        <v>170</v>
      </c>
      <c r="CO424" s="72">
        <f t="shared" ref="CO424" si="3936">AI424</f>
        <v>185</v>
      </c>
      <c r="CP424" s="72">
        <f t="shared" ref="CP424" si="3937">AM424</f>
        <v>226</v>
      </c>
      <c r="CQ424" s="72">
        <f t="shared" ref="CQ424" si="3938">AQ424</f>
        <v>271</v>
      </c>
      <c r="CR424" s="72">
        <f t="shared" ref="CR424" si="3939">AU424</f>
        <v>311</v>
      </c>
      <c r="CS424" s="72">
        <f t="shared" ref="CS424" si="3940">AY424</f>
        <v>319</v>
      </c>
      <c r="CT424" s="23" t="e">
        <f t="shared" ref="CT424" si="3941">M424-K424</f>
        <v>#VALUE!</v>
      </c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r="QE424" s="6"/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r="RY424" s="6"/>
      <c r="RZ424" s="6"/>
      <c r="SA424" s="6"/>
      <c r="SB424" s="6"/>
      <c r="SC424" s="6"/>
      <c r="SD424" s="6"/>
      <c r="SE424" s="6"/>
      <c r="SF424" s="6"/>
      <c r="SG424" s="6"/>
      <c r="SH424" s="6"/>
      <c r="SI424" s="6"/>
      <c r="SJ424" s="6"/>
      <c r="SK424" s="6"/>
      <c r="SL424" s="6"/>
      <c r="SM424" s="6"/>
      <c r="SN424" s="6"/>
      <c r="SO424" s="6"/>
      <c r="SP424" s="6"/>
      <c r="SQ424" s="6"/>
      <c r="SR424" s="6"/>
      <c r="SS424" s="6"/>
      <c r="ST424" s="6"/>
      <c r="SU424" s="6"/>
      <c r="SV424" s="6"/>
      <c r="SW424" s="6"/>
      <c r="SX424" s="6"/>
      <c r="SY424" s="6"/>
      <c r="SZ424" s="6"/>
      <c r="TA424" s="6"/>
      <c r="TB424" s="6"/>
      <c r="TC424" s="6"/>
      <c r="TD424" s="6"/>
      <c r="TE424" s="6"/>
      <c r="TF424" s="6"/>
      <c r="TG424" s="6"/>
      <c r="TH424" s="6"/>
      <c r="TI424" s="6"/>
      <c r="TJ424" s="6"/>
      <c r="TK424" s="6"/>
      <c r="TL424" s="6"/>
      <c r="TM424" s="6"/>
      <c r="TN424" s="6"/>
      <c r="TO424" s="6"/>
      <c r="TP424" s="6"/>
      <c r="TQ424" s="6"/>
      <c r="TR424" s="6"/>
      <c r="TS424" s="6"/>
      <c r="TT424" s="6"/>
      <c r="TU424" s="6"/>
      <c r="TV424" s="6"/>
      <c r="TW424" s="6"/>
      <c r="TX424" s="6"/>
      <c r="TY424" s="6"/>
      <c r="TZ424" s="6"/>
      <c r="UA424" s="6"/>
      <c r="UB424" s="6"/>
      <c r="UC424" s="6"/>
      <c r="UD424" s="6"/>
      <c r="UE424" s="6"/>
      <c r="UF424" s="6"/>
      <c r="UG424" s="6"/>
      <c r="UH424" s="6"/>
      <c r="UI424" s="6"/>
      <c r="UJ424" s="6"/>
      <c r="UK424" s="6"/>
      <c r="UL424" s="6"/>
      <c r="UM424" s="6"/>
      <c r="UN424" s="6"/>
      <c r="UO424" s="6"/>
      <c r="UP424" s="6"/>
      <c r="UQ424" s="6"/>
      <c r="UR424" s="6"/>
      <c r="US424" s="6"/>
      <c r="UT424" s="6"/>
      <c r="UU424" s="6"/>
      <c r="UV424" s="6"/>
      <c r="UW424" s="6"/>
      <c r="UX424" s="6"/>
      <c r="UY424" s="6"/>
      <c r="UZ424" s="6"/>
      <c r="VA424" s="6"/>
      <c r="VB424" s="6"/>
      <c r="VC424" s="6"/>
      <c r="VD424" s="6"/>
      <c r="VE424" s="6"/>
      <c r="VF424" s="6"/>
      <c r="VG424" s="6"/>
      <c r="VH424" s="6"/>
      <c r="VI424" s="6"/>
      <c r="VJ424" s="6"/>
      <c r="VK424" s="6"/>
      <c r="VL424" s="6"/>
      <c r="VM424" s="6"/>
      <c r="VN424" s="6"/>
      <c r="VO424" s="6"/>
      <c r="VP424" s="6"/>
      <c r="VQ424" s="6"/>
      <c r="VR424" s="6"/>
      <c r="VS424" s="6"/>
      <c r="VT424" s="6"/>
      <c r="VU424" s="6"/>
      <c r="VV424" s="6"/>
      <c r="VW424" s="6"/>
      <c r="VX424" s="6"/>
      <c r="VY424" s="6"/>
      <c r="VZ424" s="6"/>
      <c r="WA424" s="6"/>
      <c r="WB424" s="6"/>
      <c r="WC424" s="6"/>
      <c r="WD424" s="6"/>
      <c r="WE424" s="6"/>
      <c r="WF424" s="6"/>
      <c r="WG424" s="6"/>
      <c r="WH424" s="6"/>
      <c r="WI424" s="6"/>
      <c r="WJ424" s="6"/>
      <c r="WK424" s="6"/>
      <c r="WL424" s="6"/>
      <c r="WM424" s="6"/>
      <c r="WN424" s="6"/>
      <c r="WO424" s="6"/>
      <c r="WP424" s="6"/>
      <c r="WQ424" s="6"/>
      <c r="WR424" s="6"/>
      <c r="WS424" s="6"/>
      <c r="WT424" s="6"/>
      <c r="WU424" s="6"/>
      <c r="WV424" s="6"/>
      <c r="WW424" s="6"/>
      <c r="WX424" s="6"/>
      <c r="WY424" s="6"/>
      <c r="WZ424" s="6"/>
      <c r="XA424" s="6"/>
      <c r="XB424" s="6"/>
      <c r="XC424" s="6"/>
      <c r="XD424" s="6"/>
      <c r="XE424" s="6"/>
      <c r="XF424" s="6"/>
      <c r="XG424" s="6"/>
      <c r="XH424" s="6"/>
      <c r="XI424" s="6"/>
      <c r="XJ424" s="6"/>
      <c r="XK424" s="6"/>
      <c r="XL424" s="6"/>
      <c r="XM424" s="6"/>
      <c r="XN424" s="6"/>
      <c r="XO424" s="6"/>
      <c r="XP424" s="6"/>
      <c r="XQ424" s="6"/>
      <c r="XR424" s="6"/>
      <c r="XS424" s="6"/>
      <c r="XT424" s="6"/>
      <c r="XU424" s="6"/>
      <c r="XV424" s="6"/>
      <c r="XW424" s="6"/>
      <c r="XX424" s="6"/>
      <c r="XY424" s="6"/>
      <c r="XZ424" s="6"/>
      <c r="YA424" s="6"/>
      <c r="YB424" s="6"/>
      <c r="YC424" s="6"/>
      <c r="YD424" s="6"/>
      <c r="YE424" s="6"/>
      <c r="YF424" s="6"/>
      <c r="YG424" s="6"/>
      <c r="YH424" s="6"/>
      <c r="YI424" s="6"/>
      <c r="YJ424" s="6"/>
      <c r="YK424" s="6"/>
      <c r="YL424" s="6"/>
      <c r="YM424" s="6"/>
      <c r="YN424" s="6"/>
      <c r="YO424" s="6"/>
      <c r="YP424" s="6"/>
      <c r="YQ424" s="6"/>
      <c r="YR424" s="6"/>
      <c r="YS424" s="6"/>
      <c r="YT424" s="6"/>
      <c r="YU424" s="6"/>
      <c r="YV424" s="6"/>
      <c r="YW424" s="6"/>
      <c r="YX424" s="6"/>
      <c r="YY424" s="6"/>
      <c r="YZ424" s="6"/>
      <c r="ZA424" s="6"/>
      <c r="ZB424" s="6"/>
      <c r="ZC424" s="6"/>
      <c r="ZD424" s="6"/>
      <c r="ZE424" s="6"/>
      <c r="ZF424" s="6"/>
      <c r="ZG424" s="6"/>
      <c r="ZH424" s="6"/>
      <c r="ZI424" s="6"/>
      <c r="ZJ424" s="6"/>
      <c r="ZK424" s="6"/>
      <c r="ZL424" s="6"/>
      <c r="ZM424" s="6"/>
      <c r="ZN424" s="6"/>
      <c r="ZO424" s="6"/>
      <c r="ZP424" s="6"/>
      <c r="ZQ424" s="6"/>
      <c r="ZR424" s="6"/>
      <c r="ZS424" s="6"/>
      <c r="ZT424" s="6"/>
      <c r="ZU424" s="6"/>
      <c r="ZV424" s="6"/>
      <c r="ZW424" s="6"/>
      <c r="ZX424" s="6"/>
      <c r="ZY424" s="6"/>
      <c r="ZZ424" s="6"/>
      <c r="AAA424" s="6"/>
      <c r="AAB424" s="6"/>
      <c r="AAC424" s="6"/>
      <c r="AAD424" s="6"/>
      <c r="AAE424" s="6"/>
      <c r="AAF424" s="6"/>
      <c r="AAG424" s="6"/>
      <c r="AAH424" s="6"/>
      <c r="AAI424" s="6"/>
      <c r="AAJ424" s="6"/>
      <c r="AAK424" s="6"/>
      <c r="AAL424" s="6"/>
      <c r="AAM424" s="6"/>
      <c r="AAN424" s="6"/>
      <c r="AAO424" s="6"/>
      <c r="AAP424" s="6"/>
      <c r="AAQ424" s="6"/>
      <c r="AAR424" s="6"/>
      <c r="AAS424" s="6"/>
      <c r="AAT424" s="6"/>
      <c r="AAU424" s="6"/>
      <c r="AAV424" s="6"/>
      <c r="AAW424" s="6"/>
      <c r="AAX424" s="6"/>
      <c r="AAY424" s="6"/>
      <c r="AAZ424" s="6"/>
      <c r="ABA424" s="6"/>
      <c r="ABB424" s="6"/>
      <c r="ABC424" s="6"/>
      <c r="ABD424" s="6"/>
      <c r="ABE424" s="6"/>
      <c r="ABF424" s="6"/>
      <c r="ABG424" s="6"/>
      <c r="ABH424" s="6"/>
      <c r="ABI424" s="6"/>
      <c r="ABJ424" s="6"/>
      <c r="ABK424" s="6"/>
      <c r="ABL424" s="6"/>
      <c r="ABM424" s="6"/>
      <c r="ABN424" s="6"/>
      <c r="ABO424" s="6"/>
      <c r="ABP424" s="6"/>
      <c r="ABQ424" s="6"/>
      <c r="ABR424" s="6"/>
      <c r="ABS424" s="6"/>
      <c r="ABT424" s="6"/>
      <c r="ABU424" s="6"/>
      <c r="ABV424" s="6"/>
      <c r="ABW424" s="6"/>
      <c r="ABX424" s="6"/>
      <c r="ABY424" s="6"/>
      <c r="ABZ424" s="6"/>
      <c r="ACA424" s="6"/>
      <c r="ACB424" s="6"/>
      <c r="ACC424" s="6"/>
      <c r="ACD424" s="6"/>
      <c r="ACE424" s="6"/>
      <c r="ACF424" s="6"/>
      <c r="ACG424" s="6"/>
      <c r="ACH424" s="6"/>
      <c r="ACI424" s="6"/>
      <c r="ACJ424" s="6"/>
      <c r="ACK424" s="6"/>
      <c r="ACL424" s="6"/>
      <c r="ACM424" s="6"/>
      <c r="ACN424" s="6"/>
      <c r="ACO424" s="6"/>
      <c r="ACP424" s="6"/>
      <c r="ACQ424" s="6"/>
      <c r="ACR424" s="6"/>
      <c r="ACS424" s="6"/>
      <c r="ACT424" s="6"/>
      <c r="ACU424" s="6"/>
      <c r="ACV424" s="6"/>
      <c r="ACW424" s="6"/>
      <c r="ACX424" s="6"/>
      <c r="ACY424" s="6"/>
      <c r="ACZ424" s="6"/>
      <c r="ADA424" s="6"/>
      <c r="ADB424" s="6"/>
      <c r="ADC424" s="6"/>
      <c r="ADD424" s="6"/>
      <c r="ADE424" s="6"/>
      <c r="ADF424" s="6"/>
      <c r="ADG424" s="6"/>
      <c r="ADH424" s="6"/>
      <c r="ADI424" s="6"/>
      <c r="ADJ424" s="6"/>
      <c r="ADK424" s="6"/>
      <c r="ADL424" s="6"/>
      <c r="ADM424" s="6"/>
      <c r="ADN424" s="6"/>
      <c r="ADO424" s="6"/>
      <c r="ADP424" s="6"/>
      <c r="ADQ424" s="6"/>
      <c r="ADR424" s="6"/>
      <c r="ADS424" s="6"/>
      <c r="ADT424" s="6"/>
      <c r="ADU424" s="6"/>
      <c r="ADV424" s="6"/>
      <c r="ADW424" s="6"/>
      <c r="ADX424" s="6"/>
      <c r="ADY424" s="6"/>
      <c r="ADZ424" s="6"/>
      <c r="AEA424" s="6"/>
      <c r="AEB424" s="6"/>
      <c r="AEC424" s="6"/>
      <c r="AED424" s="6"/>
      <c r="AEE424" s="6"/>
      <c r="AEF424" s="6"/>
      <c r="AEG424" s="6"/>
      <c r="AEH424" s="6"/>
      <c r="AEI424" s="6"/>
      <c r="AEJ424" s="6"/>
      <c r="AEK424" s="6"/>
      <c r="AEL424" s="6"/>
      <c r="AEM424" s="6"/>
      <c r="AEN424" s="6"/>
      <c r="AEO424" s="6"/>
      <c r="AEP424" s="6"/>
      <c r="AEQ424" s="6"/>
      <c r="AER424" s="6"/>
      <c r="AES424" s="6"/>
      <c r="AET424" s="6"/>
      <c r="AEU424" s="6"/>
      <c r="AEV424" s="6"/>
      <c r="AEW424" s="6"/>
      <c r="AEX424" s="6"/>
      <c r="AEY424" s="6"/>
      <c r="AEZ424" s="6"/>
      <c r="AFA424" s="6"/>
      <c r="AFB424" s="6"/>
      <c r="AFC424" s="6"/>
      <c r="AFD424" s="6"/>
      <c r="AFE424" s="6"/>
      <c r="AFF424" s="6"/>
      <c r="AFG424" s="6"/>
      <c r="AFH424" s="6"/>
      <c r="AFI424" s="6"/>
      <c r="AFJ424" s="6"/>
      <c r="AFK424" s="6"/>
      <c r="AFL424" s="6"/>
      <c r="AFM424" s="6"/>
      <c r="AFN424" s="6"/>
      <c r="AFO424" s="6"/>
      <c r="AFP424" s="6"/>
      <c r="AFQ424" s="6"/>
      <c r="AFR424" s="6"/>
      <c r="AFS424" s="6"/>
      <c r="AFT424" s="6"/>
      <c r="AFU424" s="6"/>
      <c r="AFV424" s="6"/>
      <c r="AFW424" s="6"/>
      <c r="AFX424" s="6"/>
      <c r="AFY424" s="6"/>
      <c r="AFZ424" s="6"/>
      <c r="AGA424" s="6"/>
      <c r="AGB424" s="6"/>
      <c r="AGC424" s="6"/>
      <c r="AGD424" s="6"/>
      <c r="AGE424" s="6"/>
      <c r="AGF424" s="6"/>
      <c r="AGG424" s="6"/>
      <c r="AGH424" s="6"/>
      <c r="AGI424" s="6"/>
      <c r="AGJ424" s="6"/>
      <c r="AGK424" s="6"/>
      <c r="AGL424" s="6"/>
      <c r="AGM424" s="6"/>
      <c r="AGN424" s="6"/>
      <c r="AGO424" s="6"/>
      <c r="AGP424" s="6"/>
      <c r="AGQ424" s="6"/>
      <c r="AGR424" s="6"/>
      <c r="AGS424" s="6"/>
      <c r="AGT424" s="6"/>
      <c r="AGU424" s="6"/>
      <c r="AGV424" s="6"/>
      <c r="AGW424" s="6"/>
      <c r="AGX424" s="6"/>
      <c r="AGY424" s="6"/>
      <c r="AGZ424" s="6"/>
      <c r="AHA424" s="6"/>
      <c r="AHB424" s="6"/>
      <c r="AHC424" s="6"/>
      <c r="AHD424" s="6"/>
      <c r="AHE424" s="6"/>
      <c r="AHF424" s="6"/>
      <c r="AHG424" s="6"/>
      <c r="AHH424" s="6"/>
      <c r="AHI424" s="6"/>
      <c r="AHJ424" s="6"/>
      <c r="AHK424" s="6"/>
      <c r="AHL424" s="6"/>
      <c r="AHM424" s="6"/>
      <c r="AHN424" s="6"/>
      <c r="AHO424" s="6"/>
      <c r="AHP424" s="6"/>
      <c r="AHQ424" s="6"/>
      <c r="AHR424" s="6"/>
      <c r="AHS424" s="6"/>
      <c r="AHT424" s="6"/>
      <c r="AHU424" s="6"/>
      <c r="AHV424" s="6"/>
      <c r="AHW424" s="6"/>
      <c r="AHX424" s="6"/>
      <c r="AHY424" s="6"/>
      <c r="AHZ424" s="6"/>
      <c r="AIA424" s="6"/>
      <c r="AIB424" s="6"/>
      <c r="AIC424" s="6"/>
      <c r="AID424" s="6"/>
      <c r="AIE424" s="6"/>
      <c r="AIF424" s="6"/>
      <c r="AIG424" s="6"/>
      <c r="AIH424" s="6"/>
      <c r="AII424" s="6"/>
      <c r="AIJ424" s="6"/>
      <c r="AIK424" s="6"/>
      <c r="AIL424" s="6"/>
      <c r="AIM424" s="6"/>
      <c r="AIN424" s="6"/>
      <c r="AIO424" s="6"/>
      <c r="AIP424" s="6"/>
      <c r="AIQ424" s="6"/>
      <c r="AIR424" s="6"/>
      <c r="AIS424" s="6"/>
      <c r="AIT424" s="6"/>
      <c r="AIU424" s="6"/>
      <c r="AIV424" s="6"/>
      <c r="AIW424" s="6"/>
      <c r="AIX424" s="6"/>
      <c r="AIY424" s="6"/>
      <c r="AIZ424" s="6"/>
      <c r="AJA424" s="6"/>
      <c r="AJB424" s="6"/>
      <c r="AJC424" s="6"/>
      <c r="AJD424" s="6"/>
      <c r="AJE424" s="6"/>
      <c r="AJF424" s="6"/>
      <c r="AJG424" s="6"/>
      <c r="AJH424" s="6"/>
      <c r="AJI424" s="6"/>
      <c r="AJJ424" s="6"/>
      <c r="AJK424" s="6"/>
      <c r="AJL424" s="6"/>
      <c r="AJM424" s="6"/>
      <c r="AJN424" s="6"/>
      <c r="AJO424" s="6"/>
      <c r="AJP424" s="6"/>
      <c r="AJQ424" s="6"/>
      <c r="AJR424" s="6"/>
      <c r="AJS424" s="6"/>
      <c r="AJT424" s="6"/>
      <c r="AJU424" s="6"/>
      <c r="AJV424" s="6"/>
      <c r="AJW424" s="6"/>
      <c r="AJX424" s="6"/>
      <c r="AJY424" s="6"/>
      <c r="AJZ424" s="6"/>
      <c r="AKA424" s="6"/>
      <c r="AKB424" s="6"/>
      <c r="AKC424" s="6"/>
      <c r="AKD424" s="6"/>
      <c r="AKE424" s="6"/>
      <c r="AKF424" s="6"/>
      <c r="AKG424" s="6"/>
      <c r="AKH424" s="6"/>
      <c r="AKI424" s="6"/>
      <c r="AKJ424" s="6"/>
      <c r="AKK424" s="6"/>
      <c r="AKL424" s="6"/>
      <c r="AKM424" s="6"/>
      <c r="AKN424" s="6"/>
      <c r="AKO424" s="6"/>
      <c r="AKP424" s="6"/>
      <c r="AKQ424" s="6"/>
      <c r="AKR424" s="6"/>
      <c r="AKS424" s="6"/>
      <c r="AKT424" s="6"/>
      <c r="AKU424" s="6"/>
      <c r="AKV424" s="6"/>
      <c r="AKW424" s="6"/>
      <c r="AKX424" s="6"/>
      <c r="AKY424" s="6"/>
      <c r="AKZ424" s="6"/>
      <c r="ALA424" s="6"/>
      <c r="ALB424" s="6"/>
      <c r="ALC424" s="6"/>
      <c r="ALD424" s="6"/>
      <c r="ALE424" s="6"/>
      <c r="ALF424" s="6"/>
      <c r="ALG424" s="6"/>
      <c r="ALH424" s="6"/>
      <c r="ALI424" s="6"/>
      <c r="ALJ424" s="6"/>
      <c r="ALK424" s="6"/>
      <c r="ALL424" s="6"/>
      <c r="ALM424" s="6"/>
      <c r="ALN424" s="6"/>
      <c r="ALO424" s="6"/>
      <c r="ALP424" s="6"/>
      <c r="ALQ424" s="6"/>
      <c r="ALR424" s="6"/>
      <c r="ALS424" s="6"/>
      <c r="ALT424" s="6"/>
      <c r="ALU424" s="6"/>
      <c r="ALV424" s="6"/>
      <c r="ALW424" s="6"/>
      <c r="ALX424" s="6"/>
      <c r="ALY424" s="6"/>
      <c r="ALZ424" s="6"/>
      <c r="AMA424" s="6"/>
      <c r="AMB424" s="6"/>
      <c r="AMC424" s="6"/>
      <c r="AMD424" s="6"/>
      <c r="AME424" s="6"/>
      <c r="AMF424" s="6"/>
      <c r="AMG424" s="6"/>
      <c r="AMH424" s="6"/>
      <c r="AMI424" s="6"/>
      <c r="AMJ424" s="6"/>
      <c r="AMK424" s="6"/>
      <c r="AML424" s="6"/>
      <c r="AMM424" s="6"/>
      <c r="AMN424" s="6"/>
      <c r="AMO424" s="6"/>
      <c r="AMP424" s="6"/>
    </row>
    <row r="425" spans="1:1030" x14ac:dyDescent="0.2">
      <c r="A425" s="3" t="str">
        <f t="shared" si="3885"/>
        <v>calcr_human__wt</v>
      </c>
      <c r="B425" s="2" t="s">
        <v>400</v>
      </c>
      <c r="C425" s="3" t="s">
        <v>100</v>
      </c>
      <c r="D425" s="3" t="str">
        <f>IFERROR(MID(VLOOKUP($B425,Seqs!$A:$B,2,0),E425,1),"")</f>
        <v>T</v>
      </c>
      <c r="E425" s="3">
        <v>132</v>
      </c>
      <c r="F425" s="3" t="str">
        <f>IFERROR(MID(VLOOKUP($B425,Seqs!$A:$B,2,0),G425,1),"")</f>
        <v>F</v>
      </c>
      <c r="G425" s="3">
        <v>173</v>
      </c>
      <c r="H425" s="3" t="str">
        <f>IFERROR(MID(VLOOKUP($B425,Seqs!$A:$B,2,0),I425,1),"")</f>
        <v>R</v>
      </c>
      <c r="I425" s="23">
        <v>174</v>
      </c>
      <c r="J425" s="3" t="str">
        <f>IFERROR(MID(VLOOKUP($B425,Seqs!$A:$B,2,0),K425,1),"")</f>
        <v>G</v>
      </c>
      <c r="K425" s="23">
        <v>177</v>
      </c>
      <c r="L425" s="3" t="str">
        <f>IFERROR(MID(VLOOKUP($B425,Seqs!$A:$B,2,0),M425,1),"")</f>
        <v>C</v>
      </c>
      <c r="M425" s="3">
        <v>178</v>
      </c>
      <c r="N425" s="3" t="str">
        <f>IFERROR(MID(VLOOKUP($B425,Seqs!$A:$B,2,0),O425,1),"")</f>
        <v>V</v>
      </c>
      <c r="O425" s="3">
        <v>205</v>
      </c>
      <c r="P425" s="3" t="str">
        <f>IFERROR(MID(VLOOKUP($B425,Seqs!$A:$B,2,0),Q425,1),"")</f>
        <v/>
      </c>
      <c r="Q425" s="3" t="s">
        <v>23</v>
      </c>
      <c r="R425" s="3" t="str">
        <f>IFERROR(MID(VLOOKUP($B425,Seqs!$A:$B,2,0),S425,1),"")</f>
        <v/>
      </c>
      <c r="S425" s="3" t="s">
        <v>23</v>
      </c>
      <c r="T425" s="3" t="str">
        <f>IFERROR(MID(VLOOKUP($B425,Seqs!$A:$B,2,0),U425,1),"")</f>
        <v>V</v>
      </c>
      <c r="U425" s="105">
        <v>217</v>
      </c>
      <c r="V425" s="3" t="str">
        <f>IFERROR(MID(VLOOKUP($B425,Seqs!$A:$B,2,0),W425,1),"")</f>
        <v>V</v>
      </c>
      <c r="W425" s="3">
        <v>250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R</v>
      </c>
      <c r="AC425" s="3">
        <v>258</v>
      </c>
      <c r="AD425" s="3" t="str">
        <f>IFERROR(MID(VLOOKUP($B425,Seqs!$A:$B,2,0),AE425,1),"")</f>
        <v>F</v>
      </c>
      <c r="AE425" s="3">
        <v>285</v>
      </c>
      <c r="AF425" s="3" t="str">
        <f>IFERROR(MID(VLOOKUP($B425,Seqs!$A:$B,2,0),AG425,1),"")</f>
        <v>C</v>
      </c>
      <c r="AG425" s="3">
        <v>289</v>
      </c>
      <c r="AH425" s="3" t="str">
        <f>IFERROR(MID(VLOOKUP($B425,Seqs!$A:$B,2,0),AI425,1),"")</f>
        <v>L</v>
      </c>
      <c r="AI425" s="3">
        <v>291</v>
      </c>
      <c r="AJ425" s="3" t="str">
        <f>IFERROR(MID(VLOOKUP($B425,Seqs!$A:$B,2,0),AK425,1),"")</f>
        <v>L</v>
      </c>
      <c r="AK425" s="3">
        <v>298</v>
      </c>
      <c r="AL425" s="3" t="str">
        <f>IFERROR(MID(VLOOKUP($B425,Seqs!$A:$B,2,0),AM425,1),"")</f>
        <v>R</v>
      </c>
      <c r="AM425" s="3">
        <v>328</v>
      </c>
      <c r="AN425" s="3" t="str">
        <f>IFERROR(MID(VLOOKUP($B425,Seqs!$A:$B,2,0),AO425,1),"")</f>
        <v>Y</v>
      </c>
      <c r="AO425" s="3">
        <v>338</v>
      </c>
      <c r="AP425" s="3" t="str">
        <f>IFERROR(MID(VLOOKUP($B425,Seqs!$A:$B,2,0),AQ425,1),"")</f>
        <v>W</v>
      </c>
      <c r="AQ425" s="3">
        <v>361</v>
      </c>
      <c r="AR425" s="3" t="str">
        <f>IFERROR(MID(VLOOKUP($B425,Seqs!$A:$B,2,0),AS425,1),"")</f>
        <v>K</v>
      </c>
      <c r="AS425" s="3">
        <v>366</v>
      </c>
      <c r="AT425" s="3" t="str">
        <f>IFERROR(MID(VLOOKUP($B425,Seqs!$A:$B,2,0),AU425,1),"")</f>
        <v>C</v>
      </c>
      <c r="AU425" s="3">
        <v>394</v>
      </c>
      <c r="AV425" s="3" t="str">
        <f>IFERROR(MID(VLOOKUP($B425,Seqs!$A:$B,2,0),AW425,1),"")</f>
        <v>N</v>
      </c>
      <c r="AW425" s="3">
        <v>395</v>
      </c>
      <c r="AX425" s="3" t="str">
        <f>IFERROR(MID(VLOOKUP($B425,Seqs!$A:$B,2,0),AY425,1),"")</f>
        <v>R</v>
      </c>
      <c r="AY425" s="3">
        <v>420</v>
      </c>
      <c r="AZ425" s="77" t="str">
        <f>VLOOKUP(B425,Classification!A:D,2,0)</f>
        <v>B1</v>
      </c>
      <c r="BA425" s="94" t="str">
        <f>VLOOKUP(B425,Classification!A:D,4,0)</f>
        <v>Calcitonin</v>
      </c>
      <c r="BB425" s="27" t="b">
        <f t="shared" si="3858"/>
        <v>1</v>
      </c>
      <c r="BC425" s="23">
        <f t="shared" si="3859"/>
        <v>251</v>
      </c>
      <c r="BD425" s="4" t="s">
        <v>23</v>
      </c>
      <c r="BE425" s="3" t="s">
        <v>23</v>
      </c>
      <c r="BF425" s="118" t="s">
        <v>23</v>
      </c>
      <c r="BG425" s="49" t="s">
        <v>1373</v>
      </c>
      <c r="BH425" s="49" t="s">
        <v>1373</v>
      </c>
      <c r="BI425" s="1"/>
      <c r="BJ425" s="70" t="s">
        <v>1283</v>
      </c>
      <c r="BK425" s="57" t="s">
        <v>1283</v>
      </c>
      <c r="BL425" s="57" t="s">
        <v>1283</v>
      </c>
      <c r="BM425" s="57" t="s">
        <v>1283</v>
      </c>
      <c r="BN425" s="57" t="s">
        <v>1283</v>
      </c>
      <c r="BO425" s="57" t="s">
        <v>1283</v>
      </c>
      <c r="BP425" s="57" t="s">
        <v>1283</v>
      </c>
      <c r="BQ425" s="57" t="s">
        <v>1283</v>
      </c>
      <c r="BR425" s="57" t="s">
        <v>1283</v>
      </c>
      <c r="BS425" s="57" t="s">
        <v>1283</v>
      </c>
      <c r="BT425" s="57" t="s">
        <v>1283</v>
      </c>
      <c r="BU425" s="57" t="s">
        <v>1283</v>
      </c>
      <c r="BV425" s="70">
        <f t="shared" si="3860"/>
        <v>132</v>
      </c>
      <c r="BW425" s="71">
        <f t="shared" si="3861"/>
        <v>174</v>
      </c>
      <c r="BX425" s="72">
        <f t="shared" si="3862"/>
        <v>178</v>
      </c>
      <c r="BY425" s="71" t="str">
        <f t="shared" si="3863"/>
        <v>-</v>
      </c>
      <c r="BZ425" s="72">
        <f t="shared" si="3864"/>
        <v>217</v>
      </c>
      <c r="CA425" s="71" t="str">
        <f t="shared" si="3865"/>
        <v>-</v>
      </c>
      <c r="CB425" s="72">
        <f t="shared" si="3866"/>
        <v>258</v>
      </c>
      <c r="CC425" s="71">
        <f t="shared" si="3867"/>
        <v>289</v>
      </c>
      <c r="CD425" s="72">
        <f t="shared" si="3868"/>
        <v>298</v>
      </c>
      <c r="CE425" s="71">
        <f t="shared" si="3869"/>
        <v>338</v>
      </c>
      <c r="CF425" s="72">
        <f t="shared" si="3870"/>
        <v>366</v>
      </c>
      <c r="CG425" s="71">
        <f t="shared" si="3871"/>
        <v>395</v>
      </c>
      <c r="CH425" s="70">
        <f t="shared" si="3872"/>
        <v>173</v>
      </c>
      <c r="CI425" s="71">
        <f t="shared" si="3873"/>
        <v>177</v>
      </c>
      <c r="CJ425" s="72">
        <f t="shared" si="3874"/>
        <v>205</v>
      </c>
      <c r="CK425" s="72" t="str">
        <f t="shared" si="3875"/>
        <v>-</v>
      </c>
      <c r="CL425" s="72">
        <f t="shared" si="3876"/>
        <v>250</v>
      </c>
      <c r="CM425" s="72" t="str">
        <f t="shared" si="3877"/>
        <v>-</v>
      </c>
      <c r="CN425" s="72">
        <f t="shared" si="3878"/>
        <v>285</v>
      </c>
      <c r="CO425" s="72">
        <f t="shared" si="3879"/>
        <v>291</v>
      </c>
      <c r="CP425" s="72">
        <f t="shared" si="3880"/>
        <v>328</v>
      </c>
      <c r="CQ425" s="72">
        <f t="shared" si="3881"/>
        <v>361</v>
      </c>
      <c r="CR425" s="72">
        <f t="shared" si="3882"/>
        <v>394</v>
      </c>
      <c r="CS425" s="72">
        <f t="shared" si="3883"/>
        <v>420</v>
      </c>
      <c r="CT425" s="23">
        <f t="shared" si="3884"/>
        <v>1</v>
      </c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"/>
      <c r="PA425" s="6"/>
      <c r="PB425" s="6"/>
      <c r="PC425" s="6"/>
      <c r="PD425" s="6"/>
      <c r="PE425" s="6"/>
      <c r="PF425" s="6"/>
      <c r="PG425" s="6"/>
      <c r="PH425" s="6"/>
      <c r="PI425" s="6"/>
      <c r="PJ425" s="6"/>
      <c r="PK425" s="6"/>
      <c r="PL425" s="6"/>
      <c r="PM425" s="6"/>
      <c r="PN425" s="6"/>
      <c r="PO425" s="6"/>
      <c r="PP425" s="6"/>
      <c r="PQ425" s="6"/>
      <c r="PR425" s="6"/>
      <c r="PS425" s="6"/>
      <c r="PT425" s="6"/>
      <c r="PU425" s="6"/>
      <c r="PV425" s="6"/>
      <c r="PW425" s="6"/>
      <c r="PX425" s="6"/>
      <c r="PY425" s="6"/>
      <c r="PZ425" s="6"/>
      <c r="QA425" s="6"/>
      <c r="QB425" s="6"/>
      <c r="QC425" s="6"/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  <c r="SC425" s="6"/>
      <c r="SD425" s="6"/>
      <c r="SE425" s="6"/>
      <c r="SF425" s="6"/>
      <c r="SG425" s="6"/>
      <c r="SH425" s="6"/>
      <c r="SI425" s="6"/>
      <c r="SJ425" s="6"/>
      <c r="SK425" s="6"/>
      <c r="SL425" s="6"/>
      <c r="SM425" s="6"/>
      <c r="SN425" s="6"/>
      <c r="SO425" s="6"/>
      <c r="SP425" s="6"/>
      <c r="SQ425" s="6"/>
      <c r="SR425" s="6"/>
      <c r="SS425" s="6"/>
      <c r="ST425" s="6"/>
      <c r="SU425" s="6"/>
      <c r="SV425" s="6"/>
      <c r="SW425" s="6"/>
      <c r="SX425" s="6"/>
      <c r="SY425" s="6"/>
      <c r="SZ425" s="6"/>
      <c r="TA425" s="6"/>
      <c r="TB425" s="6"/>
      <c r="TC425" s="6"/>
      <c r="TD425" s="6"/>
      <c r="TE425" s="6"/>
      <c r="TF425" s="6"/>
      <c r="TG425" s="6"/>
      <c r="TH425" s="6"/>
      <c r="TI425" s="6"/>
      <c r="TJ425" s="6"/>
      <c r="TK425" s="6"/>
      <c r="TL425" s="6"/>
      <c r="TM425" s="6"/>
      <c r="TN425" s="6"/>
      <c r="TO425" s="6"/>
      <c r="TP425" s="6"/>
      <c r="TQ425" s="6"/>
      <c r="TR425" s="6"/>
      <c r="TS425" s="6"/>
      <c r="TT425" s="6"/>
      <c r="TU425" s="6"/>
      <c r="TV425" s="6"/>
      <c r="TW425" s="6"/>
      <c r="TX425" s="6"/>
      <c r="TY425" s="6"/>
      <c r="TZ425" s="6"/>
      <c r="UA425" s="6"/>
      <c r="UB425" s="6"/>
      <c r="UC425" s="6"/>
      <c r="UD425" s="6"/>
      <c r="UE425" s="6"/>
      <c r="UF425" s="6"/>
      <c r="UG425" s="6"/>
      <c r="UH425" s="6"/>
      <c r="UI425" s="6"/>
      <c r="UJ425" s="6"/>
      <c r="UK425" s="6"/>
      <c r="UL425" s="6"/>
      <c r="UM425" s="6"/>
      <c r="UN425" s="6"/>
      <c r="UO425" s="6"/>
      <c r="UP425" s="6"/>
      <c r="UQ425" s="6"/>
      <c r="UR425" s="6"/>
      <c r="US425" s="6"/>
      <c r="UT425" s="6"/>
      <c r="UU425" s="6"/>
      <c r="UV425" s="6"/>
      <c r="UW425" s="6"/>
      <c r="UX425" s="6"/>
      <c r="UY425" s="6"/>
      <c r="UZ425" s="6"/>
      <c r="VA425" s="6"/>
      <c r="VB425" s="6"/>
      <c r="VC425" s="6"/>
      <c r="VD425" s="6"/>
      <c r="VE425" s="6"/>
      <c r="VF425" s="6"/>
      <c r="VG425" s="6"/>
      <c r="VH425" s="6"/>
      <c r="VI425" s="6"/>
      <c r="VJ425" s="6"/>
      <c r="VK425" s="6"/>
      <c r="VL425" s="6"/>
      <c r="VM425" s="6"/>
      <c r="VN425" s="6"/>
      <c r="VO425" s="6"/>
      <c r="VP425" s="6"/>
      <c r="VQ425" s="6"/>
      <c r="VR425" s="6"/>
      <c r="VS425" s="6"/>
      <c r="VT425" s="6"/>
      <c r="VU425" s="6"/>
      <c r="VV425" s="6"/>
      <c r="VW425" s="6"/>
      <c r="VX425" s="6"/>
      <c r="VY425" s="6"/>
      <c r="VZ425" s="6"/>
      <c r="WA425" s="6"/>
      <c r="WB425" s="6"/>
      <c r="WC425" s="6"/>
      <c r="WD425" s="6"/>
      <c r="WE425" s="6"/>
      <c r="WF425" s="6"/>
      <c r="WG425" s="6"/>
      <c r="WH425" s="6"/>
      <c r="WI425" s="6"/>
      <c r="WJ425" s="6"/>
      <c r="WK425" s="6"/>
      <c r="WL425" s="6"/>
      <c r="WM425" s="6"/>
      <c r="WN425" s="6"/>
      <c r="WO425" s="6"/>
      <c r="WP425" s="6"/>
      <c r="WQ425" s="6"/>
      <c r="WR425" s="6"/>
      <c r="WS425" s="6"/>
      <c r="WT425" s="6"/>
      <c r="WU425" s="6"/>
      <c r="WV425" s="6"/>
      <c r="WW425" s="6"/>
      <c r="WX425" s="6"/>
      <c r="WY425" s="6"/>
      <c r="WZ425" s="6"/>
      <c r="XA425" s="6"/>
      <c r="XB425" s="6"/>
      <c r="XC425" s="6"/>
      <c r="XD425" s="6"/>
      <c r="XE425" s="6"/>
      <c r="XF425" s="6"/>
      <c r="XG425" s="6"/>
      <c r="XH425" s="6"/>
      <c r="XI425" s="6"/>
      <c r="XJ425" s="6"/>
      <c r="XK425" s="6"/>
      <c r="XL425" s="6"/>
      <c r="XM425" s="6"/>
      <c r="XN425" s="6"/>
      <c r="XO425" s="6"/>
      <c r="XP425" s="6"/>
      <c r="XQ425" s="6"/>
      <c r="XR425" s="6"/>
      <c r="XS425" s="6"/>
      <c r="XT425" s="6"/>
      <c r="XU425" s="6"/>
      <c r="XV425" s="6"/>
      <c r="XW425" s="6"/>
      <c r="XX425" s="6"/>
      <c r="XY425" s="6"/>
      <c r="XZ425" s="6"/>
      <c r="YA425" s="6"/>
      <c r="YB425" s="6"/>
      <c r="YC425" s="6"/>
      <c r="YD425" s="6"/>
      <c r="YE425" s="6"/>
      <c r="YF425" s="6"/>
      <c r="YG425" s="6"/>
      <c r="YH425" s="6"/>
      <c r="YI425" s="6"/>
      <c r="YJ425" s="6"/>
      <c r="YK425" s="6"/>
      <c r="YL425" s="6"/>
      <c r="YM425" s="6"/>
      <c r="YN425" s="6"/>
      <c r="YO425" s="6"/>
      <c r="YP425" s="6"/>
      <c r="YQ425" s="6"/>
      <c r="YR425" s="6"/>
      <c r="YS425" s="6"/>
      <c r="YT425" s="6"/>
      <c r="YU425" s="6"/>
      <c r="YV425" s="6"/>
      <c r="YW425" s="6"/>
      <c r="YX425" s="6"/>
      <c r="YY425" s="6"/>
      <c r="YZ425" s="6"/>
      <c r="ZA425" s="6"/>
      <c r="ZB425" s="6"/>
      <c r="ZC425" s="6"/>
      <c r="ZD425" s="6"/>
      <c r="ZE425" s="6"/>
      <c r="ZF425" s="6"/>
      <c r="ZG425" s="6"/>
      <c r="ZH425" s="6"/>
      <c r="ZI425" s="6"/>
      <c r="ZJ425" s="6"/>
      <c r="ZK425" s="6"/>
      <c r="ZL425" s="6"/>
      <c r="ZM425" s="6"/>
      <c r="ZN425" s="6"/>
      <c r="ZO425" s="6"/>
      <c r="ZP425" s="6"/>
      <c r="ZQ425" s="6"/>
      <c r="ZR425" s="6"/>
      <c r="ZS425" s="6"/>
      <c r="ZT425" s="6"/>
      <c r="ZU425" s="6"/>
      <c r="ZV425" s="6"/>
      <c r="ZW425" s="6"/>
      <c r="ZX425" s="6"/>
      <c r="ZY425" s="6"/>
      <c r="ZZ425" s="6"/>
      <c r="AAA425" s="6"/>
      <c r="AAB425" s="6"/>
      <c r="AAC425" s="6"/>
      <c r="AAD425" s="6"/>
      <c r="AAE425" s="6"/>
      <c r="AAF425" s="6"/>
      <c r="AAG425" s="6"/>
      <c r="AAH425" s="6"/>
      <c r="AAI425" s="6"/>
      <c r="AAJ425" s="6"/>
      <c r="AAK425" s="6"/>
      <c r="AAL425" s="6"/>
      <c r="AAM425" s="6"/>
      <c r="AAN425" s="6"/>
      <c r="AAO425" s="6"/>
      <c r="AAP425" s="6"/>
      <c r="AAQ425" s="6"/>
      <c r="AAR425" s="6"/>
      <c r="AAS425" s="6"/>
      <c r="AAT425" s="6"/>
      <c r="AAU425" s="6"/>
      <c r="AAV425" s="6"/>
      <c r="AAW425" s="6"/>
      <c r="AAX425" s="6"/>
      <c r="AAY425" s="6"/>
      <c r="AAZ425" s="6"/>
      <c r="ABA425" s="6"/>
      <c r="ABB425" s="6"/>
      <c r="ABC425" s="6"/>
      <c r="ABD425" s="6"/>
      <c r="ABE425" s="6"/>
      <c r="ABF425" s="6"/>
      <c r="ABG425" s="6"/>
      <c r="ABH425" s="6"/>
      <c r="ABI425" s="6"/>
      <c r="ABJ425" s="6"/>
      <c r="ABK425" s="6"/>
      <c r="ABL425" s="6"/>
      <c r="ABM425" s="6"/>
      <c r="ABN425" s="6"/>
      <c r="ABO425" s="6"/>
      <c r="ABP425" s="6"/>
      <c r="ABQ425" s="6"/>
      <c r="ABR425" s="6"/>
      <c r="ABS425" s="6"/>
      <c r="ABT425" s="6"/>
      <c r="ABU425" s="6"/>
      <c r="ABV425" s="6"/>
      <c r="ABW425" s="6"/>
      <c r="ABX425" s="6"/>
      <c r="ABY425" s="6"/>
      <c r="ABZ425" s="6"/>
      <c r="ACA425" s="6"/>
      <c r="ACB425" s="6"/>
      <c r="ACC425" s="6"/>
      <c r="ACD425" s="6"/>
      <c r="ACE425" s="6"/>
      <c r="ACF425" s="6"/>
      <c r="ACG425" s="6"/>
      <c r="ACH425" s="6"/>
      <c r="ACI425" s="6"/>
      <c r="ACJ425" s="6"/>
      <c r="ACK425" s="6"/>
      <c r="ACL425" s="6"/>
      <c r="ACM425" s="6"/>
      <c r="ACN425" s="6"/>
      <c r="ACO425" s="6"/>
      <c r="ACP425" s="6"/>
      <c r="ACQ425" s="6"/>
      <c r="ACR425" s="6"/>
      <c r="ACS425" s="6"/>
      <c r="ACT425" s="6"/>
      <c r="ACU425" s="6"/>
      <c r="ACV425" s="6"/>
      <c r="ACW425" s="6"/>
      <c r="ACX425" s="6"/>
      <c r="ACY425" s="6"/>
      <c r="ACZ425" s="6"/>
      <c r="ADA425" s="6"/>
      <c r="ADB425" s="6"/>
      <c r="ADC425" s="6"/>
      <c r="ADD425" s="6"/>
      <c r="ADE425" s="6"/>
      <c r="ADF425" s="6"/>
      <c r="ADG425" s="6"/>
      <c r="ADH425" s="6"/>
      <c r="ADI425" s="6"/>
      <c r="ADJ425" s="6"/>
      <c r="ADK425" s="6"/>
      <c r="ADL425" s="6"/>
      <c r="ADM425" s="6"/>
      <c r="ADN425" s="6"/>
      <c r="ADO425" s="6"/>
      <c r="ADP425" s="6"/>
      <c r="ADQ425" s="6"/>
      <c r="ADR425" s="6"/>
      <c r="ADS425" s="6"/>
      <c r="ADT425" s="6"/>
      <c r="ADU425" s="6"/>
      <c r="ADV425" s="6"/>
      <c r="ADW425" s="6"/>
      <c r="ADX425" s="6"/>
      <c r="ADY425" s="6"/>
      <c r="ADZ425" s="6"/>
      <c r="AEA425" s="6"/>
      <c r="AEB425" s="6"/>
      <c r="AEC425" s="6"/>
      <c r="AED425" s="6"/>
      <c r="AEE425" s="6"/>
      <c r="AEF425" s="6"/>
      <c r="AEG425" s="6"/>
      <c r="AEH425" s="6"/>
      <c r="AEI425" s="6"/>
      <c r="AEJ425" s="6"/>
      <c r="AEK425" s="6"/>
      <c r="AEL425" s="6"/>
      <c r="AEM425" s="6"/>
      <c r="AEN425" s="6"/>
      <c r="AEO425" s="6"/>
      <c r="AEP425" s="6"/>
      <c r="AEQ425" s="6"/>
      <c r="AER425" s="6"/>
      <c r="AES425" s="6"/>
      <c r="AET425" s="6"/>
      <c r="AEU425" s="6"/>
      <c r="AEV425" s="6"/>
      <c r="AEW425" s="6"/>
      <c r="AEX425" s="6"/>
      <c r="AEY425" s="6"/>
      <c r="AEZ425" s="6"/>
      <c r="AFA425" s="6"/>
      <c r="AFB425" s="6"/>
      <c r="AFC425" s="6"/>
      <c r="AFD425" s="6"/>
      <c r="AFE425" s="6"/>
      <c r="AFF425" s="6"/>
      <c r="AFG425" s="6"/>
      <c r="AFH425" s="6"/>
      <c r="AFI425" s="6"/>
      <c r="AFJ425" s="6"/>
      <c r="AFK425" s="6"/>
      <c r="AFL425" s="6"/>
      <c r="AFM425" s="6"/>
      <c r="AFN425" s="6"/>
      <c r="AFO425" s="6"/>
      <c r="AFP425" s="6"/>
      <c r="AFQ425" s="6"/>
      <c r="AFR425" s="6"/>
      <c r="AFS425" s="6"/>
      <c r="AFT425" s="6"/>
      <c r="AFU425" s="6"/>
      <c r="AFV425" s="6"/>
      <c r="AFW425" s="6"/>
      <c r="AFX425" s="6"/>
      <c r="AFY425" s="6"/>
      <c r="AFZ425" s="6"/>
      <c r="AGA425" s="6"/>
      <c r="AGB425" s="6"/>
      <c r="AGC425" s="6"/>
      <c r="AGD425" s="6"/>
      <c r="AGE425" s="6"/>
      <c r="AGF425" s="6"/>
      <c r="AGG425" s="6"/>
      <c r="AGH425" s="6"/>
      <c r="AGI425" s="6"/>
      <c r="AGJ425" s="6"/>
      <c r="AGK425" s="6"/>
      <c r="AGL425" s="6"/>
      <c r="AGM425" s="6"/>
      <c r="AGN425" s="6"/>
      <c r="AGO425" s="6"/>
      <c r="AGP425" s="6"/>
      <c r="AGQ425" s="6"/>
      <c r="AGR425" s="6"/>
      <c r="AGS425" s="6"/>
      <c r="AGT425" s="6"/>
      <c r="AGU425" s="6"/>
      <c r="AGV425" s="6"/>
      <c r="AGW425" s="6"/>
      <c r="AGX425" s="6"/>
      <c r="AGY425" s="6"/>
      <c r="AGZ425" s="6"/>
      <c r="AHA425" s="6"/>
      <c r="AHB425" s="6"/>
      <c r="AHC425" s="6"/>
      <c r="AHD425" s="6"/>
      <c r="AHE425" s="6"/>
      <c r="AHF425" s="6"/>
      <c r="AHG425" s="6"/>
      <c r="AHH425" s="6"/>
      <c r="AHI425" s="6"/>
      <c r="AHJ425" s="6"/>
      <c r="AHK425" s="6"/>
      <c r="AHL425" s="6"/>
      <c r="AHM425" s="6"/>
      <c r="AHN425" s="6"/>
      <c r="AHO425" s="6"/>
      <c r="AHP425" s="6"/>
      <c r="AHQ425" s="6"/>
      <c r="AHR425" s="6"/>
      <c r="AHS425" s="6"/>
      <c r="AHT425" s="6"/>
      <c r="AHU425" s="6"/>
      <c r="AHV425" s="6"/>
      <c r="AHW425" s="6"/>
      <c r="AHX425" s="6"/>
      <c r="AHY425" s="6"/>
      <c r="AHZ425" s="6"/>
      <c r="AIA425" s="6"/>
      <c r="AIB425" s="6"/>
      <c r="AIC425" s="6"/>
      <c r="AID425" s="6"/>
      <c r="AIE425" s="6"/>
      <c r="AIF425" s="6"/>
      <c r="AIG425" s="6"/>
      <c r="AIH425" s="6"/>
      <c r="AII425" s="6"/>
      <c r="AIJ425" s="6"/>
      <c r="AIK425" s="6"/>
      <c r="AIL425" s="6"/>
      <c r="AIM425" s="6"/>
      <c r="AIN425" s="6"/>
      <c r="AIO425" s="6"/>
      <c r="AIP425" s="6"/>
      <c r="AIQ425" s="6"/>
      <c r="AIR425" s="6"/>
      <c r="AIS425" s="6"/>
      <c r="AIT425" s="6"/>
      <c r="AIU425" s="6"/>
      <c r="AIV425" s="6"/>
      <c r="AIW425" s="6"/>
      <c r="AIX425" s="6"/>
      <c r="AIY425" s="6"/>
      <c r="AIZ425" s="6"/>
      <c r="AJA425" s="6"/>
      <c r="AJB425" s="6"/>
      <c r="AJC425" s="6"/>
      <c r="AJD425" s="6"/>
      <c r="AJE425" s="6"/>
      <c r="AJF425" s="6"/>
      <c r="AJG425" s="6"/>
      <c r="AJH425" s="6"/>
      <c r="AJI425" s="6"/>
      <c r="AJJ425" s="6"/>
      <c r="AJK425" s="6"/>
      <c r="AJL425" s="6"/>
      <c r="AJM425" s="6"/>
      <c r="AJN425" s="6"/>
      <c r="AJO425" s="6"/>
      <c r="AJP425" s="6"/>
      <c r="AJQ425" s="6"/>
      <c r="AJR425" s="6"/>
      <c r="AJS425" s="6"/>
      <c r="AJT425" s="6"/>
      <c r="AJU425" s="6"/>
      <c r="AJV425" s="6"/>
      <c r="AJW425" s="6"/>
      <c r="AJX425" s="6"/>
      <c r="AJY425" s="6"/>
      <c r="AJZ425" s="6"/>
      <c r="AKA425" s="6"/>
      <c r="AKB425" s="6"/>
      <c r="AKC425" s="6"/>
      <c r="AKD425" s="6"/>
      <c r="AKE425" s="6"/>
      <c r="AKF425" s="6"/>
      <c r="AKG425" s="6"/>
      <c r="AKH425" s="6"/>
      <c r="AKI425" s="6"/>
      <c r="AKJ425" s="6"/>
      <c r="AKK425" s="6"/>
      <c r="AKL425" s="6"/>
      <c r="AKM425" s="6"/>
      <c r="AKN425" s="6"/>
      <c r="AKO425" s="6"/>
      <c r="AKP425" s="6"/>
      <c r="AKQ425" s="6"/>
      <c r="AKR425" s="6"/>
      <c r="AKS425" s="6"/>
      <c r="AKT425" s="6"/>
      <c r="AKU425" s="6"/>
      <c r="AKV425" s="6"/>
      <c r="AKW425" s="6"/>
      <c r="AKX425" s="6"/>
      <c r="AKY425" s="6"/>
      <c r="AKZ425" s="6"/>
      <c r="ALA425" s="6"/>
      <c r="ALB425" s="6"/>
      <c r="ALC425" s="6"/>
      <c r="ALD425" s="6"/>
      <c r="ALE425" s="6"/>
      <c r="ALF425" s="6"/>
      <c r="ALG425" s="6"/>
      <c r="ALH425" s="6"/>
      <c r="ALI425" s="6"/>
      <c r="ALJ425" s="6"/>
      <c r="ALK425" s="6"/>
      <c r="ALL425" s="6"/>
      <c r="ALM425" s="6"/>
      <c r="ALN425" s="6"/>
      <c r="ALO425" s="6"/>
      <c r="ALP425" s="6"/>
      <c r="ALQ425" s="6"/>
      <c r="ALR425" s="6"/>
      <c r="ALS425" s="6"/>
      <c r="ALT425" s="6"/>
      <c r="ALU425" s="6"/>
      <c r="ALV425" s="6"/>
      <c r="ALW425" s="6"/>
      <c r="ALX425" s="6"/>
      <c r="ALY425" s="6"/>
      <c r="ALZ425" s="6"/>
      <c r="AMA425" s="6"/>
      <c r="AMB425" s="6"/>
      <c r="AMC425" s="6"/>
      <c r="AMD425" s="6"/>
      <c r="AME425" s="6"/>
      <c r="AMF425" s="6"/>
      <c r="AMG425" s="6"/>
      <c r="AMH425" s="6"/>
      <c r="AMI425" s="6"/>
      <c r="AMJ425" s="6"/>
      <c r="AMK425" s="6"/>
      <c r="AML425" s="6"/>
      <c r="AMM425" s="6"/>
      <c r="AMN425" s="6"/>
      <c r="AMO425" s="6"/>
      <c r="AMP425" s="6"/>
    </row>
    <row r="426" spans="1:1030" x14ac:dyDescent="0.2">
      <c r="A426" s="3" t="str">
        <f t="shared" si="3885"/>
        <v>calcr_human_5UZ7</v>
      </c>
      <c r="B426" s="2" t="s">
        <v>400</v>
      </c>
      <c r="C426" s="3" t="s">
        <v>1397</v>
      </c>
      <c r="D426" s="3" t="str">
        <f>IFERROR(MID(VLOOKUP($B426,Seqs!$A:$B,2,0),E426,1),"")</f>
        <v>A</v>
      </c>
      <c r="E426" s="3">
        <v>136</v>
      </c>
      <c r="F426" s="3" t="str">
        <f>IFERROR(MID(VLOOKUP($B426,Seqs!$A:$B,2,0),G426,1),"")</f>
        <v>F</v>
      </c>
      <c r="G426" s="3">
        <v>173</v>
      </c>
      <c r="H426" s="3" t="str">
        <f>IFERROR(MID(VLOOKUP($B426,Seqs!$A:$B,2,0),I426,1),"")</f>
        <v>R</v>
      </c>
      <c r="I426" s="23">
        <v>174</v>
      </c>
      <c r="J426" s="3" t="str">
        <f>IFERROR(MID(VLOOKUP($B426,Seqs!$A:$B,2,0),K426,1),"")</f>
        <v>G</v>
      </c>
      <c r="K426" s="23">
        <v>177</v>
      </c>
      <c r="L426" s="3" t="str">
        <f>IFERROR(MID(VLOOKUP($B426,Seqs!$A:$B,2,0),M426,1),"")</f>
        <v>C</v>
      </c>
      <c r="M426" s="3">
        <v>178</v>
      </c>
      <c r="N426" s="3" t="str">
        <f>IFERROR(MID(VLOOKUP($B426,Seqs!$A:$B,2,0),O426,1),"")</f>
        <v>V</v>
      </c>
      <c r="O426" s="3">
        <v>205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D</v>
      </c>
      <c r="U426" s="3">
        <v>215</v>
      </c>
      <c r="V426" s="3" t="str">
        <f>IFERROR(MID(VLOOKUP($B426,Seqs!$A:$B,2,0),W426,1),"")</f>
        <v>V</v>
      </c>
      <c r="W426" s="3">
        <v>250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R</v>
      </c>
      <c r="AC426" s="3">
        <v>258</v>
      </c>
      <c r="AD426" s="3" t="str">
        <f>IFERROR(MID(VLOOKUP($B426,Seqs!$A:$B,2,0),AE426,1),"")</f>
        <v>F</v>
      </c>
      <c r="AE426" s="3">
        <v>285</v>
      </c>
      <c r="AF426" s="3" t="str">
        <f>IFERROR(MID(VLOOKUP($B426,Seqs!$A:$B,2,0),AG426,1),"")</f>
        <v>C</v>
      </c>
      <c r="AG426" s="3">
        <v>289</v>
      </c>
      <c r="AH426" s="3" t="str">
        <f>IFERROR(MID(VLOOKUP($B426,Seqs!$A:$B,2,0),AI426,1),"")</f>
        <v>L</v>
      </c>
      <c r="AI426" s="3">
        <v>291</v>
      </c>
      <c r="AJ426" s="3" t="str">
        <f>IFERROR(MID(VLOOKUP($B426,Seqs!$A:$B,2,0),AK426,1),"")</f>
        <v>L</v>
      </c>
      <c r="AK426" s="3">
        <v>298</v>
      </c>
      <c r="AL426" s="3" t="str">
        <f>IFERROR(MID(VLOOKUP($B426,Seqs!$A:$B,2,0),AM426,1),"")</f>
        <v>R</v>
      </c>
      <c r="AM426" s="3">
        <v>328</v>
      </c>
      <c r="AN426" s="3" t="str">
        <f>IFERROR(MID(VLOOKUP($B426,Seqs!$A:$B,2,0),AO426,1),"")</f>
        <v>L</v>
      </c>
      <c r="AO426" s="3">
        <v>352</v>
      </c>
      <c r="AP426" s="3" t="str">
        <f>IFERROR(MID(VLOOKUP($B426,Seqs!$A:$B,2,0),AQ426,1),"")</f>
        <v>P</v>
      </c>
      <c r="AQ426" s="3">
        <v>360</v>
      </c>
      <c r="AR426" s="3" t="str">
        <f>IFERROR(MID(VLOOKUP($B426,Seqs!$A:$B,2,0),AS426,1),"")</f>
        <v>K</v>
      </c>
      <c r="AS426" s="3">
        <v>366</v>
      </c>
      <c r="AT426" s="3" t="str">
        <f>IFERROR(MID(VLOOKUP($B426,Seqs!$A:$B,2,0),AU426,1),"")</f>
        <v>C</v>
      </c>
      <c r="AU426" s="3">
        <v>394</v>
      </c>
      <c r="AV426" s="3" t="str">
        <f>IFERROR(MID(VLOOKUP($B426,Seqs!$A:$B,2,0),AW426,1),"")</f>
        <v>N</v>
      </c>
      <c r="AW426" s="3">
        <v>395</v>
      </c>
      <c r="AX426" s="3" t="str">
        <f>IFERROR(MID(VLOOKUP($B426,Seqs!$A:$B,2,0),AY426,1),"")</f>
        <v>G</v>
      </c>
      <c r="AY426" s="3">
        <v>418</v>
      </c>
      <c r="AZ426" s="77" t="str">
        <f>VLOOKUP(B426,Classification!A:D,2,0)</f>
        <v>B1</v>
      </c>
      <c r="BA426" s="94" t="str">
        <f>VLOOKUP(B426,Classification!A:D,4,0)</f>
        <v>Calcitonin</v>
      </c>
      <c r="BB426" s="27" t="b">
        <f t="shared" si="3858"/>
        <v>1</v>
      </c>
      <c r="BC426" s="23">
        <f t="shared" si="3859"/>
        <v>232</v>
      </c>
      <c r="BD426" s="4" t="s">
        <v>23</v>
      </c>
      <c r="BE426" s="3" t="s">
        <v>1287</v>
      </c>
      <c r="BF426" s="118">
        <v>4.0999999999999996</v>
      </c>
      <c r="BG426" s="49" t="s">
        <v>1373</v>
      </c>
      <c r="BH426" s="49" t="s">
        <v>1373</v>
      </c>
      <c r="BI426" s="1"/>
      <c r="BJ426" s="70" t="s">
        <v>1283</v>
      </c>
      <c r="BK426" s="57" t="s">
        <v>1283</v>
      </c>
      <c r="BL426" s="57" t="s">
        <v>1283</v>
      </c>
      <c r="BM426" s="57" t="s">
        <v>1283</v>
      </c>
      <c r="BN426" s="57" t="s">
        <v>1283</v>
      </c>
      <c r="BO426" s="57" t="s">
        <v>1283</v>
      </c>
      <c r="BP426" s="57" t="s">
        <v>1283</v>
      </c>
      <c r="BQ426" s="57" t="s">
        <v>1283</v>
      </c>
      <c r="BR426" s="57" t="s">
        <v>1283</v>
      </c>
      <c r="BS426" s="57" t="s">
        <v>1283</v>
      </c>
      <c r="BT426" s="57" t="s">
        <v>1283</v>
      </c>
      <c r="BU426" s="57" t="s">
        <v>1283</v>
      </c>
      <c r="BV426" s="70">
        <f t="shared" si="3860"/>
        <v>136</v>
      </c>
      <c r="BW426" s="71">
        <f t="shared" si="3861"/>
        <v>174</v>
      </c>
      <c r="BX426" s="72">
        <f t="shared" si="3862"/>
        <v>178</v>
      </c>
      <c r="BY426" s="71" t="str">
        <f t="shared" si="3863"/>
        <v>-</v>
      </c>
      <c r="BZ426" s="72">
        <f t="shared" si="3864"/>
        <v>215</v>
      </c>
      <c r="CA426" s="71" t="str">
        <f t="shared" si="3865"/>
        <v>-</v>
      </c>
      <c r="CB426" s="72">
        <f t="shared" si="3866"/>
        <v>258</v>
      </c>
      <c r="CC426" s="71">
        <f t="shared" si="3867"/>
        <v>289</v>
      </c>
      <c r="CD426" s="72">
        <f t="shared" si="3868"/>
        <v>298</v>
      </c>
      <c r="CE426" s="71">
        <f t="shared" si="3869"/>
        <v>352</v>
      </c>
      <c r="CF426" s="72">
        <f t="shared" si="3870"/>
        <v>366</v>
      </c>
      <c r="CG426" s="71">
        <f t="shared" si="3871"/>
        <v>395</v>
      </c>
      <c r="CH426" s="70">
        <f t="shared" si="3872"/>
        <v>173</v>
      </c>
      <c r="CI426" s="71">
        <f t="shared" si="3873"/>
        <v>177</v>
      </c>
      <c r="CJ426" s="72">
        <f t="shared" si="3874"/>
        <v>205</v>
      </c>
      <c r="CK426" s="72" t="str">
        <f t="shared" si="3875"/>
        <v>-</v>
      </c>
      <c r="CL426" s="72">
        <f t="shared" si="3876"/>
        <v>250</v>
      </c>
      <c r="CM426" s="72" t="str">
        <f t="shared" si="3877"/>
        <v>-</v>
      </c>
      <c r="CN426" s="72">
        <f t="shared" si="3878"/>
        <v>285</v>
      </c>
      <c r="CO426" s="72">
        <f t="shared" si="3879"/>
        <v>291</v>
      </c>
      <c r="CP426" s="72">
        <f t="shared" si="3880"/>
        <v>328</v>
      </c>
      <c r="CQ426" s="72">
        <f t="shared" si="3881"/>
        <v>360</v>
      </c>
      <c r="CR426" s="72">
        <f t="shared" si="3882"/>
        <v>394</v>
      </c>
      <c r="CS426" s="72">
        <f t="shared" si="3883"/>
        <v>418</v>
      </c>
      <c r="CT426" s="23">
        <f t="shared" si="3884"/>
        <v>1</v>
      </c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  <c r="SC426" s="6"/>
      <c r="SD426" s="6"/>
      <c r="SE426" s="6"/>
      <c r="SF426" s="6"/>
      <c r="SG426" s="6"/>
      <c r="SH426" s="6"/>
      <c r="SI426" s="6"/>
      <c r="SJ426" s="6"/>
      <c r="SK426" s="6"/>
      <c r="SL426" s="6"/>
      <c r="SM426" s="6"/>
      <c r="SN426" s="6"/>
      <c r="SO426" s="6"/>
      <c r="SP426" s="6"/>
      <c r="SQ426" s="6"/>
      <c r="SR426" s="6"/>
      <c r="SS426" s="6"/>
      <c r="ST426" s="6"/>
      <c r="SU426" s="6"/>
      <c r="SV426" s="6"/>
      <c r="SW426" s="6"/>
      <c r="SX426" s="6"/>
      <c r="SY426" s="6"/>
      <c r="SZ426" s="6"/>
      <c r="TA426" s="6"/>
      <c r="TB426" s="6"/>
      <c r="TC426" s="6"/>
      <c r="TD426" s="6"/>
      <c r="TE426" s="6"/>
      <c r="TF426" s="6"/>
      <c r="TG426" s="6"/>
      <c r="TH426" s="6"/>
      <c r="TI426" s="6"/>
      <c r="TJ426" s="6"/>
      <c r="TK426" s="6"/>
      <c r="TL426" s="6"/>
      <c r="TM426" s="6"/>
      <c r="TN426" s="6"/>
      <c r="TO426" s="6"/>
      <c r="TP426" s="6"/>
      <c r="TQ426" s="6"/>
      <c r="TR426" s="6"/>
      <c r="TS426" s="6"/>
      <c r="TT426" s="6"/>
      <c r="TU426" s="6"/>
      <c r="TV426" s="6"/>
      <c r="TW426" s="6"/>
      <c r="TX426" s="6"/>
      <c r="TY426" s="6"/>
      <c r="TZ426" s="6"/>
      <c r="UA426" s="6"/>
      <c r="UB426" s="6"/>
      <c r="UC426" s="6"/>
      <c r="UD426" s="6"/>
      <c r="UE426" s="6"/>
      <c r="UF426" s="6"/>
      <c r="UG426" s="6"/>
      <c r="UH426" s="6"/>
      <c r="UI426" s="6"/>
      <c r="UJ426" s="6"/>
      <c r="UK426" s="6"/>
      <c r="UL426" s="6"/>
      <c r="UM426" s="6"/>
      <c r="UN426" s="6"/>
      <c r="UO426" s="6"/>
      <c r="UP426" s="6"/>
      <c r="UQ426" s="6"/>
      <c r="UR426" s="6"/>
      <c r="US426" s="6"/>
      <c r="UT426" s="6"/>
      <c r="UU426" s="6"/>
      <c r="UV426" s="6"/>
      <c r="UW426" s="6"/>
      <c r="UX426" s="6"/>
      <c r="UY426" s="6"/>
      <c r="UZ426" s="6"/>
      <c r="VA426" s="6"/>
      <c r="VB426" s="6"/>
      <c r="VC426" s="6"/>
      <c r="VD426" s="6"/>
      <c r="VE426" s="6"/>
      <c r="VF426" s="6"/>
      <c r="VG426" s="6"/>
      <c r="VH426" s="6"/>
      <c r="VI426" s="6"/>
      <c r="VJ426" s="6"/>
      <c r="VK426" s="6"/>
      <c r="VL426" s="6"/>
      <c r="VM426" s="6"/>
      <c r="VN426" s="6"/>
      <c r="VO426" s="6"/>
      <c r="VP426" s="6"/>
      <c r="VQ426" s="6"/>
      <c r="VR426" s="6"/>
      <c r="VS426" s="6"/>
      <c r="VT426" s="6"/>
      <c r="VU426" s="6"/>
      <c r="VV426" s="6"/>
      <c r="VW426" s="6"/>
      <c r="VX426" s="6"/>
      <c r="VY426" s="6"/>
      <c r="VZ426" s="6"/>
      <c r="WA426" s="6"/>
      <c r="WB426" s="6"/>
      <c r="WC426" s="6"/>
      <c r="WD426" s="6"/>
      <c r="WE426" s="6"/>
      <c r="WF426" s="6"/>
      <c r="WG426" s="6"/>
      <c r="WH426" s="6"/>
      <c r="WI426" s="6"/>
      <c r="WJ426" s="6"/>
      <c r="WK426" s="6"/>
      <c r="WL426" s="6"/>
      <c r="WM426" s="6"/>
      <c r="WN426" s="6"/>
      <c r="WO426" s="6"/>
      <c r="WP426" s="6"/>
      <c r="WQ426" s="6"/>
      <c r="WR426" s="6"/>
      <c r="WS426" s="6"/>
      <c r="WT426" s="6"/>
      <c r="WU426" s="6"/>
      <c r="WV426" s="6"/>
      <c r="WW426" s="6"/>
      <c r="WX426" s="6"/>
      <c r="WY426" s="6"/>
      <c r="WZ426" s="6"/>
      <c r="XA426" s="6"/>
      <c r="XB426" s="6"/>
      <c r="XC426" s="6"/>
      <c r="XD426" s="6"/>
      <c r="XE426" s="6"/>
      <c r="XF426" s="6"/>
      <c r="XG426" s="6"/>
      <c r="XH426" s="6"/>
      <c r="XI426" s="6"/>
      <c r="XJ426" s="6"/>
      <c r="XK426" s="6"/>
      <c r="XL426" s="6"/>
      <c r="XM426" s="6"/>
      <c r="XN426" s="6"/>
      <c r="XO426" s="6"/>
      <c r="XP426" s="6"/>
      <c r="XQ426" s="6"/>
      <c r="XR426" s="6"/>
      <c r="XS426" s="6"/>
      <c r="XT426" s="6"/>
      <c r="XU426" s="6"/>
      <c r="XV426" s="6"/>
      <c r="XW426" s="6"/>
      <c r="XX426" s="6"/>
      <c r="XY426" s="6"/>
      <c r="XZ426" s="6"/>
      <c r="YA426" s="6"/>
      <c r="YB426" s="6"/>
      <c r="YC426" s="6"/>
      <c r="YD426" s="6"/>
      <c r="YE426" s="6"/>
      <c r="YF426" s="6"/>
      <c r="YG426" s="6"/>
      <c r="YH426" s="6"/>
      <c r="YI426" s="6"/>
      <c r="YJ426" s="6"/>
      <c r="YK426" s="6"/>
      <c r="YL426" s="6"/>
      <c r="YM426" s="6"/>
      <c r="YN426" s="6"/>
      <c r="YO426" s="6"/>
      <c r="YP426" s="6"/>
      <c r="YQ426" s="6"/>
      <c r="YR426" s="6"/>
      <c r="YS426" s="6"/>
      <c r="YT426" s="6"/>
      <c r="YU426" s="6"/>
      <c r="YV426" s="6"/>
      <c r="YW426" s="6"/>
      <c r="YX426" s="6"/>
      <c r="YY426" s="6"/>
      <c r="YZ426" s="6"/>
      <c r="ZA426" s="6"/>
      <c r="ZB426" s="6"/>
      <c r="ZC426" s="6"/>
      <c r="ZD426" s="6"/>
      <c r="ZE426" s="6"/>
      <c r="ZF426" s="6"/>
      <c r="ZG426" s="6"/>
      <c r="ZH426" s="6"/>
      <c r="ZI426" s="6"/>
      <c r="ZJ426" s="6"/>
      <c r="ZK426" s="6"/>
      <c r="ZL426" s="6"/>
      <c r="ZM426" s="6"/>
      <c r="ZN426" s="6"/>
      <c r="ZO426" s="6"/>
      <c r="ZP426" s="6"/>
      <c r="ZQ426" s="6"/>
      <c r="ZR426" s="6"/>
      <c r="ZS426" s="6"/>
      <c r="ZT426" s="6"/>
      <c r="ZU426" s="6"/>
      <c r="ZV426" s="6"/>
      <c r="ZW426" s="6"/>
      <c r="ZX426" s="6"/>
      <c r="ZY426" s="6"/>
      <c r="ZZ426" s="6"/>
      <c r="AAA426" s="6"/>
      <c r="AAB426" s="6"/>
      <c r="AAC426" s="6"/>
      <c r="AAD426" s="6"/>
      <c r="AAE426" s="6"/>
      <c r="AAF426" s="6"/>
      <c r="AAG426" s="6"/>
      <c r="AAH426" s="6"/>
      <c r="AAI426" s="6"/>
      <c r="AAJ426" s="6"/>
      <c r="AAK426" s="6"/>
      <c r="AAL426" s="6"/>
      <c r="AAM426" s="6"/>
      <c r="AAN426" s="6"/>
      <c r="AAO426" s="6"/>
      <c r="AAP426" s="6"/>
      <c r="AAQ426" s="6"/>
      <c r="AAR426" s="6"/>
      <c r="AAS426" s="6"/>
      <c r="AAT426" s="6"/>
      <c r="AAU426" s="6"/>
      <c r="AAV426" s="6"/>
      <c r="AAW426" s="6"/>
      <c r="AAX426" s="6"/>
      <c r="AAY426" s="6"/>
      <c r="AAZ426" s="6"/>
      <c r="ABA426" s="6"/>
      <c r="ABB426" s="6"/>
      <c r="ABC426" s="6"/>
      <c r="ABD426" s="6"/>
      <c r="ABE426" s="6"/>
      <c r="ABF426" s="6"/>
      <c r="ABG426" s="6"/>
      <c r="ABH426" s="6"/>
      <c r="ABI426" s="6"/>
      <c r="ABJ426" s="6"/>
      <c r="ABK426" s="6"/>
      <c r="ABL426" s="6"/>
      <c r="ABM426" s="6"/>
      <c r="ABN426" s="6"/>
      <c r="ABO426" s="6"/>
      <c r="ABP426" s="6"/>
      <c r="ABQ426" s="6"/>
      <c r="ABR426" s="6"/>
      <c r="ABS426" s="6"/>
      <c r="ABT426" s="6"/>
      <c r="ABU426" s="6"/>
      <c r="ABV426" s="6"/>
      <c r="ABW426" s="6"/>
      <c r="ABX426" s="6"/>
      <c r="ABY426" s="6"/>
      <c r="ABZ426" s="6"/>
      <c r="ACA426" s="6"/>
      <c r="ACB426" s="6"/>
      <c r="ACC426" s="6"/>
      <c r="ACD426" s="6"/>
      <c r="ACE426" s="6"/>
      <c r="ACF426" s="6"/>
      <c r="ACG426" s="6"/>
      <c r="ACH426" s="6"/>
      <c r="ACI426" s="6"/>
      <c r="ACJ426" s="6"/>
      <c r="ACK426" s="6"/>
      <c r="ACL426" s="6"/>
      <c r="ACM426" s="6"/>
      <c r="ACN426" s="6"/>
      <c r="ACO426" s="6"/>
      <c r="ACP426" s="6"/>
      <c r="ACQ426" s="6"/>
      <c r="ACR426" s="6"/>
      <c r="ACS426" s="6"/>
      <c r="ACT426" s="6"/>
      <c r="ACU426" s="6"/>
      <c r="ACV426" s="6"/>
      <c r="ACW426" s="6"/>
      <c r="ACX426" s="6"/>
      <c r="ACY426" s="6"/>
      <c r="ACZ426" s="6"/>
      <c r="ADA426" s="6"/>
      <c r="ADB426" s="6"/>
      <c r="ADC426" s="6"/>
      <c r="ADD426" s="6"/>
      <c r="ADE426" s="6"/>
      <c r="ADF426" s="6"/>
      <c r="ADG426" s="6"/>
      <c r="ADH426" s="6"/>
      <c r="ADI426" s="6"/>
      <c r="ADJ426" s="6"/>
      <c r="ADK426" s="6"/>
      <c r="ADL426" s="6"/>
      <c r="ADM426" s="6"/>
      <c r="ADN426" s="6"/>
      <c r="ADO426" s="6"/>
      <c r="ADP426" s="6"/>
      <c r="ADQ426" s="6"/>
      <c r="ADR426" s="6"/>
      <c r="ADS426" s="6"/>
      <c r="ADT426" s="6"/>
      <c r="ADU426" s="6"/>
      <c r="ADV426" s="6"/>
      <c r="ADW426" s="6"/>
      <c r="ADX426" s="6"/>
      <c r="ADY426" s="6"/>
      <c r="ADZ426" s="6"/>
      <c r="AEA426" s="6"/>
      <c r="AEB426" s="6"/>
      <c r="AEC426" s="6"/>
      <c r="AED426" s="6"/>
      <c r="AEE426" s="6"/>
      <c r="AEF426" s="6"/>
      <c r="AEG426" s="6"/>
      <c r="AEH426" s="6"/>
      <c r="AEI426" s="6"/>
      <c r="AEJ426" s="6"/>
      <c r="AEK426" s="6"/>
      <c r="AEL426" s="6"/>
      <c r="AEM426" s="6"/>
      <c r="AEN426" s="6"/>
      <c r="AEO426" s="6"/>
      <c r="AEP426" s="6"/>
      <c r="AEQ426" s="6"/>
      <c r="AER426" s="6"/>
      <c r="AES426" s="6"/>
      <c r="AET426" s="6"/>
      <c r="AEU426" s="6"/>
      <c r="AEV426" s="6"/>
      <c r="AEW426" s="6"/>
      <c r="AEX426" s="6"/>
      <c r="AEY426" s="6"/>
      <c r="AEZ426" s="6"/>
      <c r="AFA426" s="6"/>
      <c r="AFB426" s="6"/>
      <c r="AFC426" s="6"/>
      <c r="AFD426" s="6"/>
      <c r="AFE426" s="6"/>
      <c r="AFF426" s="6"/>
      <c r="AFG426" s="6"/>
      <c r="AFH426" s="6"/>
      <c r="AFI426" s="6"/>
      <c r="AFJ426" s="6"/>
      <c r="AFK426" s="6"/>
      <c r="AFL426" s="6"/>
      <c r="AFM426" s="6"/>
      <c r="AFN426" s="6"/>
      <c r="AFO426" s="6"/>
      <c r="AFP426" s="6"/>
      <c r="AFQ426" s="6"/>
      <c r="AFR426" s="6"/>
      <c r="AFS426" s="6"/>
      <c r="AFT426" s="6"/>
      <c r="AFU426" s="6"/>
      <c r="AFV426" s="6"/>
      <c r="AFW426" s="6"/>
      <c r="AFX426" s="6"/>
      <c r="AFY426" s="6"/>
      <c r="AFZ426" s="6"/>
      <c r="AGA426" s="6"/>
      <c r="AGB426" s="6"/>
      <c r="AGC426" s="6"/>
      <c r="AGD426" s="6"/>
      <c r="AGE426" s="6"/>
      <c r="AGF426" s="6"/>
      <c r="AGG426" s="6"/>
      <c r="AGH426" s="6"/>
      <c r="AGI426" s="6"/>
      <c r="AGJ426" s="6"/>
      <c r="AGK426" s="6"/>
      <c r="AGL426" s="6"/>
      <c r="AGM426" s="6"/>
      <c r="AGN426" s="6"/>
      <c r="AGO426" s="6"/>
      <c r="AGP426" s="6"/>
      <c r="AGQ426" s="6"/>
      <c r="AGR426" s="6"/>
      <c r="AGS426" s="6"/>
      <c r="AGT426" s="6"/>
      <c r="AGU426" s="6"/>
      <c r="AGV426" s="6"/>
      <c r="AGW426" s="6"/>
      <c r="AGX426" s="6"/>
      <c r="AGY426" s="6"/>
      <c r="AGZ426" s="6"/>
      <c r="AHA426" s="6"/>
      <c r="AHB426" s="6"/>
      <c r="AHC426" s="6"/>
      <c r="AHD426" s="6"/>
      <c r="AHE426" s="6"/>
      <c r="AHF426" s="6"/>
      <c r="AHG426" s="6"/>
      <c r="AHH426" s="6"/>
      <c r="AHI426" s="6"/>
      <c r="AHJ426" s="6"/>
      <c r="AHK426" s="6"/>
      <c r="AHL426" s="6"/>
      <c r="AHM426" s="6"/>
      <c r="AHN426" s="6"/>
      <c r="AHO426" s="6"/>
      <c r="AHP426" s="6"/>
      <c r="AHQ426" s="6"/>
      <c r="AHR426" s="6"/>
      <c r="AHS426" s="6"/>
      <c r="AHT426" s="6"/>
      <c r="AHU426" s="6"/>
      <c r="AHV426" s="6"/>
      <c r="AHW426" s="6"/>
      <c r="AHX426" s="6"/>
      <c r="AHY426" s="6"/>
      <c r="AHZ426" s="6"/>
      <c r="AIA426" s="6"/>
      <c r="AIB426" s="6"/>
      <c r="AIC426" s="6"/>
      <c r="AID426" s="6"/>
      <c r="AIE426" s="6"/>
      <c r="AIF426" s="6"/>
      <c r="AIG426" s="6"/>
      <c r="AIH426" s="6"/>
      <c r="AII426" s="6"/>
      <c r="AIJ426" s="6"/>
      <c r="AIK426" s="6"/>
      <c r="AIL426" s="6"/>
      <c r="AIM426" s="6"/>
      <c r="AIN426" s="6"/>
      <c r="AIO426" s="6"/>
      <c r="AIP426" s="6"/>
      <c r="AIQ426" s="6"/>
      <c r="AIR426" s="6"/>
      <c r="AIS426" s="6"/>
      <c r="AIT426" s="6"/>
      <c r="AIU426" s="6"/>
      <c r="AIV426" s="6"/>
      <c r="AIW426" s="6"/>
      <c r="AIX426" s="6"/>
      <c r="AIY426" s="6"/>
      <c r="AIZ426" s="6"/>
      <c r="AJA426" s="6"/>
      <c r="AJB426" s="6"/>
      <c r="AJC426" s="6"/>
      <c r="AJD426" s="6"/>
      <c r="AJE426" s="6"/>
      <c r="AJF426" s="6"/>
      <c r="AJG426" s="6"/>
      <c r="AJH426" s="6"/>
      <c r="AJI426" s="6"/>
      <c r="AJJ426" s="6"/>
      <c r="AJK426" s="6"/>
      <c r="AJL426" s="6"/>
      <c r="AJM426" s="6"/>
      <c r="AJN426" s="6"/>
      <c r="AJO426" s="6"/>
      <c r="AJP426" s="6"/>
      <c r="AJQ426" s="6"/>
      <c r="AJR426" s="6"/>
      <c r="AJS426" s="6"/>
      <c r="AJT426" s="6"/>
      <c r="AJU426" s="6"/>
      <c r="AJV426" s="6"/>
      <c r="AJW426" s="6"/>
      <c r="AJX426" s="6"/>
      <c r="AJY426" s="6"/>
      <c r="AJZ426" s="6"/>
      <c r="AKA426" s="6"/>
      <c r="AKB426" s="6"/>
      <c r="AKC426" s="6"/>
      <c r="AKD426" s="6"/>
      <c r="AKE426" s="6"/>
      <c r="AKF426" s="6"/>
      <c r="AKG426" s="6"/>
      <c r="AKH426" s="6"/>
      <c r="AKI426" s="6"/>
      <c r="AKJ426" s="6"/>
      <c r="AKK426" s="6"/>
      <c r="AKL426" s="6"/>
      <c r="AKM426" s="6"/>
      <c r="AKN426" s="6"/>
      <c r="AKO426" s="6"/>
      <c r="AKP426" s="6"/>
      <c r="AKQ426" s="6"/>
      <c r="AKR426" s="6"/>
      <c r="AKS426" s="6"/>
      <c r="AKT426" s="6"/>
      <c r="AKU426" s="6"/>
      <c r="AKV426" s="6"/>
      <c r="AKW426" s="6"/>
      <c r="AKX426" s="6"/>
      <c r="AKY426" s="6"/>
      <c r="AKZ426" s="6"/>
      <c r="ALA426" s="6"/>
      <c r="ALB426" s="6"/>
      <c r="ALC426" s="6"/>
      <c r="ALD426" s="6"/>
      <c r="ALE426" s="6"/>
      <c r="ALF426" s="6"/>
      <c r="ALG426" s="6"/>
      <c r="ALH426" s="6"/>
      <c r="ALI426" s="6"/>
      <c r="ALJ426" s="6"/>
      <c r="ALK426" s="6"/>
      <c r="ALL426" s="6"/>
      <c r="ALM426" s="6"/>
      <c r="ALN426" s="6"/>
      <c r="ALO426" s="6"/>
      <c r="ALP426" s="6"/>
      <c r="ALQ426" s="6"/>
      <c r="ALR426" s="6"/>
      <c r="ALS426" s="6"/>
      <c r="ALT426" s="6"/>
      <c r="ALU426" s="6"/>
      <c r="ALV426" s="6"/>
      <c r="ALW426" s="6"/>
      <c r="ALX426" s="6"/>
      <c r="ALY426" s="6"/>
      <c r="ALZ426" s="6"/>
      <c r="AMA426" s="6"/>
      <c r="AMB426" s="6"/>
      <c r="AMC426" s="6"/>
      <c r="AMD426" s="6"/>
      <c r="AME426" s="6"/>
      <c r="AMF426" s="6"/>
      <c r="AMG426" s="6"/>
      <c r="AMH426" s="6"/>
      <c r="AMI426" s="6"/>
      <c r="AMJ426" s="6"/>
      <c r="AMK426" s="6"/>
      <c r="AML426" s="6"/>
      <c r="AMM426" s="6"/>
      <c r="AMN426" s="6"/>
      <c r="AMO426" s="6"/>
      <c r="AMP426" s="6"/>
    </row>
    <row r="427" spans="1:1030" x14ac:dyDescent="0.2">
      <c r="A427" s="3" t="str">
        <f t="shared" ref="A427" si="3942">CONCATENATE(B427,"_",C427)</f>
        <v>calcr_human_6NIY</v>
      </c>
      <c r="B427" s="2" t="s">
        <v>400</v>
      </c>
      <c r="C427" s="3" t="s">
        <v>1547</v>
      </c>
      <c r="D427" s="3" t="str">
        <f>IFERROR(MID(VLOOKUP($B427,Seqs!$A:$B,2,0),E427,1),"")</f>
        <v>T</v>
      </c>
      <c r="E427" s="3">
        <v>138</v>
      </c>
      <c r="F427" s="3" t="str">
        <f>IFERROR(MID(VLOOKUP($B427,Seqs!$A:$B,2,0),G427,1),"")</f>
        <v>F</v>
      </c>
      <c r="G427" s="3">
        <v>173</v>
      </c>
      <c r="H427" s="3" t="str">
        <f>IFERROR(MID(VLOOKUP($B427,Seqs!$A:$B,2,0),I427,1),"")</f>
        <v>R</v>
      </c>
      <c r="I427" s="23">
        <v>174</v>
      </c>
      <c r="J427" s="3" t="str">
        <f>IFERROR(MID(VLOOKUP($B427,Seqs!$A:$B,2,0),K427,1),"")</f>
        <v>G</v>
      </c>
      <c r="K427" s="23">
        <v>177</v>
      </c>
      <c r="L427" s="3" t="str">
        <f>IFERROR(MID(VLOOKUP($B427,Seqs!$A:$B,2,0),M427,1),"")</f>
        <v>C</v>
      </c>
      <c r="M427" s="3">
        <v>178</v>
      </c>
      <c r="N427" s="3" t="str">
        <f>IFERROR(MID(VLOOKUP($B427,Seqs!$A:$B,2,0),O427,1),"")</f>
        <v>V</v>
      </c>
      <c r="O427" s="3">
        <v>205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V</v>
      </c>
      <c r="U427" s="3">
        <v>217</v>
      </c>
      <c r="V427" s="3" t="str">
        <f>IFERROR(MID(VLOOKUP($B427,Seqs!$A:$B,2,0),W427,1),"")</f>
        <v>V</v>
      </c>
      <c r="W427" s="3">
        <v>250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R</v>
      </c>
      <c r="AC427" s="3">
        <v>258</v>
      </c>
      <c r="AD427" s="3" t="str">
        <f>IFERROR(MID(VLOOKUP($B427,Seqs!$A:$B,2,0),AE427,1),"")</f>
        <v>F</v>
      </c>
      <c r="AE427" s="3">
        <v>285</v>
      </c>
      <c r="AF427" s="3" t="str">
        <f>IFERROR(MID(VLOOKUP($B427,Seqs!$A:$B,2,0),AG427,1),"")</f>
        <v>C</v>
      </c>
      <c r="AG427" s="3">
        <v>289</v>
      </c>
      <c r="AH427" s="3" t="str">
        <f>IFERROR(MID(VLOOKUP($B427,Seqs!$A:$B,2,0),AI427,1),"")</f>
        <v>L</v>
      </c>
      <c r="AI427" s="3">
        <v>291</v>
      </c>
      <c r="AJ427" s="3" t="str">
        <f>IFERROR(MID(VLOOKUP($B427,Seqs!$A:$B,2,0),AK427,1),"")</f>
        <v>L</v>
      </c>
      <c r="AK427" s="3">
        <v>298</v>
      </c>
      <c r="AL427" s="3" t="str">
        <f>IFERROR(MID(VLOOKUP($B427,Seqs!$A:$B,2,0),AM427,1),"")</f>
        <v>T</v>
      </c>
      <c r="AM427" s="3">
        <v>330</v>
      </c>
      <c r="AN427" s="3" t="str">
        <f>IFERROR(MID(VLOOKUP($B427,Seqs!$A:$B,2,0),AO427,1),"")</f>
        <v>H</v>
      </c>
      <c r="AO427" s="3">
        <v>336</v>
      </c>
      <c r="AP427" s="3" t="str">
        <f>IFERROR(MID(VLOOKUP($B427,Seqs!$A:$B,2,0),AQ427,1),"")</f>
        <v>F</v>
      </c>
      <c r="AQ427" s="3">
        <v>359</v>
      </c>
      <c r="AR427" s="3" t="str">
        <f>IFERROR(MID(VLOOKUP($B427,Seqs!$A:$B,2,0),AS427,1),"")</f>
        <v>N</v>
      </c>
      <c r="AS427" s="3">
        <v>365</v>
      </c>
      <c r="AT427" s="3" t="str">
        <f>IFERROR(MID(VLOOKUP($B427,Seqs!$A:$B,2,0),AU427,1),"")</f>
        <v>C</v>
      </c>
      <c r="AU427" s="3">
        <v>394</v>
      </c>
      <c r="AV427" s="3" t="str">
        <f>IFERROR(MID(VLOOKUP($B427,Seqs!$A:$B,2,0),AW427,1),"")</f>
        <v>N</v>
      </c>
      <c r="AW427" s="3">
        <v>395</v>
      </c>
      <c r="AX427" s="3" t="str">
        <f>IFERROR(MID(VLOOKUP($B427,Seqs!$A:$B,2,0),AY427,1),"")</f>
        <v>Q</v>
      </c>
      <c r="AY427" s="3">
        <v>412</v>
      </c>
      <c r="AZ427" s="77" t="str">
        <f>VLOOKUP(B427,Classification!A:D,2,0)</f>
        <v>B1</v>
      </c>
      <c r="BA427" s="94" t="str">
        <f>VLOOKUP(B427,Classification!A:D,4,0)</f>
        <v>Calcitonin</v>
      </c>
      <c r="BB427" s="27" t="b">
        <f t="shared" ref="BB427" si="3943">AND(E427&lt;G427,OR(G427&lt;I427,I427="-"),OR(I427&lt;K427,I427="-"),OR(K427&lt;M427,K427="-"),M427&lt;O427,OR(O427&lt;Q427,Q427="-"),OR(Q427&lt;S427,Q427="-"),OR(S427&lt;U427,S427="-"),U427&lt;W427,OR(W427&lt;Y427,Y427="-"),OR(Y427&lt;AA427,Y427="-"),OR(AA427&lt;AC427,AA427="-"),AC427&lt;AE427,OR(AE427&lt;AG427,AG427="-"),OR(AG427&lt;AI427,AG427="-"),OR(AI427&lt;AK427,AI427="-"),AK427&lt;AM427,AM427&lt;AO427,AO427&lt;AQ427,AQ427&lt;AS427,AS427&lt;AU427,OR(AU427&lt;AW427,AW427="-"),OR(AW427&lt;AY427,AW427="-"))</f>
        <v>1</v>
      </c>
      <c r="BC427" s="23">
        <f t="shared" ref="BC427" si="3944">_xlfn.AGGREGATE(9,6,CH427:CS427)-_xlfn.AGGREGATE(9,6,BV427:CG427)+12</f>
        <v>240</v>
      </c>
      <c r="BD427" s="4" t="s">
        <v>1371</v>
      </c>
      <c r="BE427" s="3" t="s">
        <v>1287</v>
      </c>
      <c r="BF427" s="118">
        <v>3.34</v>
      </c>
      <c r="BG427" s="49" t="s">
        <v>1418</v>
      </c>
      <c r="BH427" s="49" t="s">
        <v>1418</v>
      </c>
      <c r="BI427" s="1"/>
      <c r="BJ427" s="70" t="s">
        <v>1283</v>
      </c>
      <c r="BK427" s="57" t="s">
        <v>1283</v>
      </c>
      <c r="BL427" s="57" t="s">
        <v>1283</v>
      </c>
      <c r="BM427" s="57" t="s">
        <v>1283</v>
      </c>
      <c r="BN427" s="57" t="s">
        <v>1283</v>
      </c>
      <c r="BO427" s="57" t="s">
        <v>1283</v>
      </c>
      <c r="BP427" s="57" t="s">
        <v>1283</v>
      </c>
      <c r="BQ427" s="57" t="s">
        <v>1283</v>
      </c>
      <c r="BR427" s="57" t="s">
        <v>1283</v>
      </c>
      <c r="BS427" s="57" t="s">
        <v>1283</v>
      </c>
      <c r="BT427" s="57" t="s">
        <v>1283</v>
      </c>
      <c r="BU427" s="57" t="s">
        <v>1283</v>
      </c>
      <c r="BV427" s="70">
        <f t="shared" ref="BV427" si="3945">E427</f>
        <v>138</v>
      </c>
      <c r="BW427" s="71">
        <f t="shared" ref="BW427" si="3946">I427</f>
        <v>174</v>
      </c>
      <c r="BX427" s="72">
        <f t="shared" ref="BX427" si="3947">M427</f>
        <v>178</v>
      </c>
      <c r="BY427" s="71" t="str">
        <f t="shared" ref="BY427" si="3948">Q427</f>
        <v>-</v>
      </c>
      <c r="BZ427" s="72">
        <f t="shared" ref="BZ427" si="3949">U427</f>
        <v>217</v>
      </c>
      <c r="CA427" s="71" t="str">
        <f t="shared" ref="CA427" si="3950">Y427</f>
        <v>-</v>
      </c>
      <c r="CB427" s="72">
        <f t="shared" ref="CB427" si="3951">AC427</f>
        <v>258</v>
      </c>
      <c r="CC427" s="71">
        <f t="shared" ref="CC427" si="3952">AG427</f>
        <v>289</v>
      </c>
      <c r="CD427" s="72">
        <f t="shared" ref="CD427" si="3953">AK427</f>
        <v>298</v>
      </c>
      <c r="CE427" s="71">
        <f t="shared" ref="CE427" si="3954">AO427</f>
        <v>336</v>
      </c>
      <c r="CF427" s="72">
        <f t="shared" ref="CF427" si="3955">AS427</f>
        <v>365</v>
      </c>
      <c r="CG427" s="71">
        <f t="shared" ref="CG427" si="3956">AW427</f>
        <v>395</v>
      </c>
      <c r="CH427" s="70">
        <f t="shared" ref="CH427" si="3957">G427</f>
        <v>173</v>
      </c>
      <c r="CI427" s="71">
        <f t="shared" ref="CI427" si="3958">K427</f>
        <v>177</v>
      </c>
      <c r="CJ427" s="72">
        <f t="shared" ref="CJ427" si="3959">O427</f>
        <v>205</v>
      </c>
      <c r="CK427" s="72" t="str">
        <f t="shared" ref="CK427" si="3960">S427</f>
        <v>-</v>
      </c>
      <c r="CL427" s="72">
        <f t="shared" ref="CL427" si="3961">W427</f>
        <v>250</v>
      </c>
      <c r="CM427" s="72" t="str">
        <f t="shared" ref="CM427" si="3962">AA427</f>
        <v>-</v>
      </c>
      <c r="CN427" s="72">
        <f t="shared" ref="CN427" si="3963">AE427</f>
        <v>285</v>
      </c>
      <c r="CO427" s="72">
        <f t="shared" ref="CO427" si="3964">AI427</f>
        <v>291</v>
      </c>
      <c r="CP427" s="72">
        <f t="shared" ref="CP427" si="3965">AM427</f>
        <v>330</v>
      </c>
      <c r="CQ427" s="72">
        <f t="shared" ref="CQ427" si="3966">AQ427</f>
        <v>359</v>
      </c>
      <c r="CR427" s="72">
        <f t="shared" ref="CR427" si="3967">AU427</f>
        <v>394</v>
      </c>
      <c r="CS427" s="72">
        <f t="shared" ref="CS427" si="3968">AY427</f>
        <v>412</v>
      </c>
      <c r="CT427" s="23">
        <f t="shared" ref="CT427" si="3969">M427-K427</f>
        <v>1</v>
      </c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r="SC427" s="6"/>
      <c r="SD427" s="6"/>
      <c r="SE427" s="6"/>
      <c r="SF427" s="6"/>
      <c r="SG427" s="6"/>
      <c r="SH427" s="6"/>
      <c r="SI427" s="6"/>
      <c r="SJ427" s="6"/>
      <c r="SK427" s="6"/>
      <c r="SL427" s="6"/>
      <c r="SM427" s="6"/>
      <c r="SN427" s="6"/>
      <c r="SO427" s="6"/>
      <c r="SP427" s="6"/>
      <c r="SQ427" s="6"/>
      <c r="SR427" s="6"/>
      <c r="SS427" s="6"/>
      <c r="ST427" s="6"/>
      <c r="SU427" s="6"/>
      <c r="SV427" s="6"/>
      <c r="SW427" s="6"/>
      <c r="SX427" s="6"/>
      <c r="SY427" s="6"/>
      <c r="SZ427" s="6"/>
      <c r="TA427" s="6"/>
      <c r="TB427" s="6"/>
      <c r="TC427" s="6"/>
      <c r="TD427" s="6"/>
      <c r="TE427" s="6"/>
      <c r="TF427" s="6"/>
      <c r="TG427" s="6"/>
      <c r="TH427" s="6"/>
      <c r="TI427" s="6"/>
      <c r="TJ427" s="6"/>
      <c r="TK427" s="6"/>
      <c r="TL427" s="6"/>
      <c r="TM427" s="6"/>
      <c r="TN427" s="6"/>
      <c r="TO427" s="6"/>
      <c r="TP427" s="6"/>
      <c r="TQ427" s="6"/>
      <c r="TR427" s="6"/>
      <c r="TS427" s="6"/>
      <c r="TT427" s="6"/>
      <c r="TU427" s="6"/>
      <c r="TV427" s="6"/>
      <c r="TW427" s="6"/>
      <c r="TX427" s="6"/>
      <c r="TY427" s="6"/>
      <c r="TZ427" s="6"/>
      <c r="UA427" s="6"/>
      <c r="UB427" s="6"/>
      <c r="UC427" s="6"/>
      <c r="UD427" s="6"/>
      <c r="UE427" s="6"/>
      <c r="UF427" s="6"/>
      <c r="UG427" s="6"/>
      <c r="UH427" s="6"/>
      <c r="UI427" s="6"/>
      <c r="UJ427" s="6"/>
      <c r="UK427" s="6"/>
      <c r="UL427" s="6"/>
      <c r="UM427" s="6"/>
      <c r="UN427" s="6"/>
      <c r="UO427" s="6"/>
      <c r="UP427" s="6"/>
      <c r="UQ427" s="6"/>
      <c r="UR427" s="6"/>
      <c r="US427" s="6"/>
      <c r="UT427" s="6"/>
      <c r="UU427" s="6"/>
      <c r="UV427" s="6"/>
      <c r="UW427" s="6"/>
      <c r="UX427" s="6"/>
      <c r="UY427" s="6"/>
      <c r="UZ427" s="6"/>
      <c r="VA427" s="6"/>
      <c r="VB427" s="6"/>
      <c r="VC427" s="6"/>
      <c r="VD427" s="6"/>
      <c r="VE427" s="6"/>
      <c r="VF427" s="6"/>
      <c r="VG427" s="6"/>
      <c r="VH427" s="6"/>
      <c r="VI427" s="6"/>
      <c r="VJ427" s="6"/>
      <c r="VK427" s="6"/>
      <c r="VL427" s="6"/>
      <c r="VM427" s="6"/>
      <c r="VN427" s="6"/>
      <c r="VO427" s="6"/>
      <c r="VP427" s="6"/>
      <c r="VQ427" s="6"/>
      <c r="VR427" s="6"/>
      <c r="VS427" s="6"/>
      <c r="VT427" s="6"/>
      <c r="VU427" s="6"/>
      <c r="VV427" s="6"/>
      <c r="VW427" s="6"/>
      <c r="VX427" s="6"/>
      <c r="VY427" s="6"/>
      <c r="VZ427" s="6"/>
      <c r="WA427" s="6"/>
      <c r="WB427" s="6"/>
      <c r="WC427" s="6"/>
      <c r="WD427" s="6"/>
      <c r="WE427" s="6"/>
      <c r="WF427" s="6"/>
      <c r="WG427" s="6"/>
      <c r="WH427" s="6"/>
      <c r="WI427" s="6"/>
      <c r="WJ427" s="6"/>
      <c r="WK427" s="6"/>
      <c r="WL427" s="6"/>
      <c r="WM427" s="6"/>
      <c r="WN427" s="6"/>
      <c r="WO427" s="6"/>
      <c r="WP427" s="6"/>
      <c r="WQ427" s="6"/>
      <c r="WR427" s="6"/>
      <c r="WS427" s="6"/>
      <c r="WT427" s="6"/>
      <c r="WU427" s="6"/>
      <c r="WV427" s="6"/>
      <c r="WW427" s="6"/>
      <c r="WX427" s="6"/>
      <c r="WY427" s="6"/>
      <c r="WZ427" s="6"/>
      <c r="XA427" s="6"/>
      <c r="XB427" s="6"/>
      <c r="XC427" s="6"/>
      <c r="XD427" s="6"/>
      <c r="XE427" s="6"/>
      <c r="XF427" s="6"/>
      <c r="XG427" s="6"/>
      <c r="XH427" s="6"/>
      <c r="XI427" s="6"/>
      <c r="XJ427" s="6"/>
      <c r="XK427" s="6"/>
      <c r="XL427" s="6"/>
      <c r="XM427" s="6"/>
      <c r="XN427" s="6"/>
      <c r="XO427" s="6"/>
      <c r="XP427" s="6"/>
      <c r="XQ427" s="6"/>
      <c r="XR427" s="6"/>
      <c r="XS427" s="6"/>
      <c r="XT427" s="6"/>
      <c r="XU427" s="6"/>
      <c r="XV427" s="6"/>
      <c r="XW427" s="6"/>
      <c r="XX427" s="6"/>
      <c r="XY427" s="6"/>
      <c r="XZ427" s="6"/>
      <c r="YA427" s="6"/>
      <c r="YB427" s="6"/>
      <c r="YC427" s="6"/>
      <c r="YD427" s="6"/>
      <c r="YE427" s="6"/>
      <c r="YF427" s="6"/>
      <c r="YG427" s="6"/>
      <c r="YH427" s="6"/>
      <c r="YI427" s="6"/>
      <c r="YJ427" s="6"/>
      <c r="YK427" s="6"/>
      <c r="YL427" s="6"/>
      <c r="YM427" s="6"/>
      <c r="YN427" s="6"/>
      <c r="YO427" s="6"/>
      <c r="YP427" s="6"/>
      <c r="YQ427" s="6"/>
      <c r="YR427" s="6"/>
      <c r="YS427" s="6"/>
      <c r="YT427" s="6"/>
      <c r="YU427" s="6"/>
      <c r="YV427" s="6"/>
      <c r="YW427" s="6"/>
      <c r="YX427" s="6"/>
      <c r="YY427" s="6"/>
      <c r="YZ427" s="6"/>
      <c r="ZA427" s="6"/>
      <c r="ZB427" s="6"/>
      <c r="ZC427" s="6"/>
      <c r="ZD427" s="6"/>
      <c r="ZE427" s="6"/>
      <c r="ZF427" s="6"/>
      <c r="ZG427" s="6"/>
      <c r="ZH427" s="6"/>
      <c r="ZI427" s="6"/>
      <c r="ZJ427" s="6"/>
      <c r="ZK427" s="6"/>
      <c r="ZL427" s="6"/>
      <c r="ZM427" s="6"/>
      <c r="ZN427" s="6"/>
      <c r="ZO427" s="6"/>
      <c r="ZP427" s="6"/>
      <c r="ZQ427" s="6"/>
      <c r="ZR427" s="6"/>
      <c r="ZS427" s="6"/>
      <c r="ZT427" s="6"/>
      <c r="ZU427" s="6"/>
      <c r="ZV427" s="6"/>
      <c r="ZW427" s="6"/>
      <c r="ZX427" s="6"/>
      <c r="ZY427" s="6"/>
      <c r="ZZ427" s="6"/>
      <c r="AAA427" s="6"/>
      <c r="AAB427" s="6"/>
      <c r="AAC427" s="6"/>
      <c r="AAD427" s="6"/>
      <c r="AAE427" s="6"/>
      <c r="AAF427" s="6"/>
      <c r="AAG427" s="6"/>
      <c r="AAH427" s="6"/>
      <c r="AAI427" s="6"/>
      <c r="AAJ427" s="6"/>
      <c r="AAK427" s="6"/>
      <c r="AAL427" s="6"/>
      <c r="AAM427" s="6"/>
      <c r="AAN427" s="6"/>
      <c r="AAO427" s="6"/>
      <c r="AAP427" s="6"/>
      <c r="AAQ427" s="6"/>
      <c r="AAR427" s="6"/>
      <c r="AAS427" s="6"/>
      <c r="AAT427" s="6"/>
      <c r="AAU427" s="6"/>
      <c r="AAV427" s="6"/>
      <c r="AAW427" s="6"/>
      <c r="AAX427" s="6"/>
      <c r="AAY427" s="6"/>
      <c r="AAZ427" s="6"/>
      <c r="ABA427" s="6"/>
      <c r="ABB427" s="6"/>
      <c r="ABC427" s="6"/>
      <c r="ABD427" s="6"/>
      <c r="ABE427" s="6"/>
      <c r="ABF427" s="6"/>
      <c r="ABG427" s="6"/>
      <c r="ABH427" s="6"/>
      <c r="ABI427" s="6"/>
      <c r="ABJ427" s="6"/>
      <c r="ABK427" s="6"/>
      <c r="ABL427" s="6"/>
      <c r="ABM427" s="6"/>
      <c r="ABN427" s="6"/>
      <c r="ABO427" s="6"/>
      <c r="ABP427" s="6"/>
      <c r="ABQ427" s="6"/>
      <c r="ABR427" s="6"/>
      <c r="ABS427" s="6"/>
      <c r="ABT427" s="6"/>
      <c r="ABU427" s="6"/>
      <c r="ABV427" s="6"/>
      <c r="ABW427" s="6"/>
      <c r="ABX427" s="6"/>
      <c r="ABY427" s="6"/>
      <c r="ABZ427" s="6"/>
      <c r="ACA427" s="6"/>
      <c r="ACB427" s="6"/>
      <c r="ACC427" s="6"/>
      <c r="ACD427" s="6"/>
      <c r="ACE427" s="6"/>
      <c r="ACF427" s="6"/>
      <c r="ACG427" s="6"/>
      <c r="ACH427" s="6"/>
      <c r="ACI427" s="6"/>
      <c r="ACJ427" s="6"/>
      <c r="ACK427" s="6"/>
      <c r="ACL427" s="6"/>
      <c r="ACM427" s="6"/>
      <c r="ACN427" s="6"/>
      <c r="ACO427" s="6"/>
      <c r="ACP427" s="6"/>
      <c r="ACQ427" s="6"/>
      <c r="ACR427" s="6"/>
      <c r="ACS427" s="6"/>
      <c r="ACT427" s="6"/>
      <c r="ACU427" s="6"/>
      <c r="ACV427" s="6"/>
      <c r="ACW427" s="6"/>
      <c r="ACX427" s="6"/>
      <c r="ACY427" s="6"/>
      <c r="ACZ427" s="6"/>
      <c r="ADA427" s="6"/>
      <c r="ADB427" s="6"/>
      <c r="ADC427" s="6"/>
      <c r="ADD427" s="6"/>
      <c r="ADE427" s="6"/>
      <c r="ADF427" s="6"/>
      <c r="ADG427" s="6"/>
      <c r="ADH427" s="6"/>
      <c r="ADI427" s="6"/>
      <c r="ADJ427" s="6"/>
      <c r="ADK427" s="6"/>
      <c r="ADL427" s="6"/>
      <c r="ADM427" s="6"/>
      <c r="ADN427" s="6"/>
      <c r="ADO427" s="6"/>
      <c r="ADP427" s="6"/>
      <c r="ADQ427" s="6"/>
      <c r="ADR427" s="6"/>
      <c r="ADS427" s="6"/>
      <c r="ADT427" s="6"/>
      <c r="ADU427" s="6"/>
      <c r="ADV427" s="6"/>
      <c r="ADW427" s="6"/>
      <c r="ADX427" s="6"/>
      <c r="ADY427" s="6"/>
      <c r="ADZ427" s="6"/>
      <c r="AEA427" s="6"/>
      <c r="AEB427" s="6"/>
      <c r="AEC427" s="6"/>
      <c r="AED427" s="6"/>
      <c r="AEE427" s="6"/>
      <c r="AEF427" s="6"/>
      <c r="AEG427" s="6"/>
      <c r="AEH427" s="6"/>
      <c r="AEI427" s="6"/>
      <c r="AEJ427" s="6"/>
      <c r="AEK427" s="6"/>
      <c r="AEL427" s="6"/>
      <c r="AEM427" s="6"/>
      <c r="AEN427" s="6"/>
      <c r="AEO427" s="6"/>
      <c r="AEP427" s="6"/>
      <c r="AEQ427" s="6"/>
      <c r="AER427" s="6"/>
      <c r="AES427" s="6"/>
      <c r="AET427" s="6"/>
      <c r="AEU427" s="6"/>
      <c r="AEV427" s="6"/>
      <c r="AEW427" s="6"/>
      <c r="AEX427" s="6"/>
      <c r="AEY427" s="6"/>
      <c r="AEZ427" s="6"/>
      <c r="AFA427" s="6"/>
      <c r="AFB427" s="6"/>
      <c r="AFC427" s="6"/>
      <c r="AFD427" s="6"/>
      <c r="AFE427" s="6"/>
      <c r="AFF427" s="6"/>
      <c r="AFG427" s="6"/>
      <c r="AFH427" s="6"/>
      <c r="AFI427" s="6"/>
      <c r="AFJ427" s="6"/>
      <c r="AFK427" s="6"/>
      <c r="AFL427" s="6"/>
      <c r="AFM427" s="6"/>
      <c r="AFN427" s="6"/>
      <c r="AFO427" s="6"/>
      <c r="AFP427" s="6"/>
      <c r="AFQ427" s="6"/>
      <c r="AFR427" s="6"/>
      <c r="AFS427" s="6"/>
      <c r="AFT427" s="6"/>
      <c r="AFU427" s="6"/>
      <c r="AFV427" s="6"/>
      <c r="AFW427" s="6"/>
      <c r="AFX427" s="6"/>
      <c r="AFY427" s="6"/>
      <c r="AFZ427" s="6"/>
      <c r="AGA427" s="6"/>
      <c r="AGB427" s="6"/>
      <c r="AGC427" s="6"/>
      <c r="AGD427" s="6"/>
      <c r="AGE427" s="6"/>
      <c r="AGF427" s="6"/>
      <c r="AGG427" s="6"/>
      <c r="AGH427" s="6"/>
      <c r="AGI427" s="6"/>
      <c r="AGJ427" s="6"/>
      <c r="AGK427" s="6"/>
      <c r="AGL427" s="6"/>
      <c r="AGM427" s="6"/>
      <c r="AGN427" s="6"/>
      <c r="AGO427" s="6"/>
      <c r="AGP427" s="6"/>
      <c r="AGQ427" s="6"/>
      <c r="AGR427" s="6"/>
      <c r="AGS427" s="6"/>
      <c r="AGT427" s="6"/>
      <c r="AGU427" s="6"/>
      <c r="AGV427" s="6"/>
      <c r="AGW427" s="6"/>
      <c r="AGX427" s="6"/>
      <c r="AGY427" s="6"/>
      <c r="AGZ427" s="6"/>
      <c r="AHA427" s="6"/>
      <c r="AHB427" s="6"/>
      <c r="AHC427" s="6"/>
      <c r="AHD427" s="6"/>
      <c r="AHE427" s="6"/>
      <c r="AHF427" s="6"/>
      <c r="AHG427" s="6"/>
      <c r="AHH427" s="6"/>
      <c r="AHI427" s="6"/>
      <c r="AHJ427" s="6"/>
      <c r="AHK427" s="6"/>
      <c r="AHL427" s="6"/>
      <c r="AHM427" s="6"/>
      <c r="AHN427" s="6"/>
      <c r="AHO427" s="6"/>
      <c r="AHP427" s="6"/>
      <c r="AHQ427" s="6"/>
      <c r="AHR427" s="6"/>
      <c r="AHS427" s="6"/>
      <c r="AHT427" s="6"/>
      <c r="AHU427" s="6"/>
      <c r="AHV427" s="6"/>
      <c r="AHW427" s="6"/>
      <c r="AHX427" s="6"/>
      <c r="AHY427" s="6"/>
      <c r="AHZ427" s="6"/>
      <c r="AIA427" s="6"/>
      <c r="AIB427" s="6"/>
      <c r="AIC427" s="6"/>
      <c r="AID427" s="6"/>
      <c r="AIE427" s="6"/>
      <c r="AIF427" s="6"/>
      <c r="AIG427" s="6"/>
      <c r="AIH427" s="6"/>
      <c r="AII427" s="6"/>
      <c r="AIJ427" s="6"/>
      <c r="AIK427" s="6"/>
      <c r="AIL427" s="6"/>
      <c r="AIM427" s="6"/>
      <c r="AIN427" s="6"/>
      <c r="AIO427" s="6"/>
      <c r="AIP427" s="6"/>
      <c r="AIQ427" s="6"/>
      <c r="AIR427" s="6"/>
      <c r="AIS427" s="6"/>
      <c r="AIT427" s="6"/>
      <c r="AIU427" s="6"/>
      <c r="AIV427" s="6"/>
      <c r="AIW427" s="6"/>
      <c r="AIX427" s="6"/>
      <c r="AIY427" s="6"/>
      <c r="AIZ427" s="6"/>
      <c r="AJA427" s="6"/>
      <c r="AJB427" s="6"/>
      <c r="AJC427" s="6"/>
      <c r="AJD427" s="6"/>
      <c r="AJE427" s="6"/>
      <c r="AJF427" s="6"/>
      <c r="AJG427" s="6"/>
      <c r="AJH427" s="6"/>
      <c r="AJI427" s="6"/>
      <c r="AJJ427" s="6"/>
      <c r="AJK427" s="6"/>
      <c r="AJL427" s="6"/>
      <c r="AJM427" s="6"/>
      <c r="AJN427" s="6"/>
      <c r="AJO427" s="6"/>
      <c r="AJP427" s="6"/>
      <c r="AJQ427" s="6"/>
      <c r="AJR427" s="6"/>
      <c r="AJS427" s="6"/>
      <c r="AJT427" s="6"/>
      <c r="AJU427" s="6"/>
      <c r="AJV427" s="6"/>
      <c r="AJW427" s="6"/>
      <c r="AJX427" s="6"/>
      <c r="AJY427" s="6"/>
      <c r="AJZ427" s="6"/>
      <c r="AKA427" s="6"/>
      <c r="AKB427" s="6"/>
      <c r="AKC427" s="6"/>
      <c r="AKD427" s="6"/>
      <c r="AKE427" s="6"/>
      <c r="AKF427" s="6"/>
      <c r="AKG427" s="6"/>
      <c r="AKH427" s="6"/>
      <c r="AKI427" s="6"/>
      <c r="AKJ427" s="6"/>
      <c r="AKK427" s="6"/>
      <c r="AKL427" s="6"/>
      <c r="AKM427" s="6"/>
      <c r="AKN427" s="6"/>
      <c r="AKO427" s="6"/>
      <c r="AKP427" s="6"/>
      <c r="AKQ427" s="6"/>
      <c r="AKR427" s="6"/>
      <c r="AKS427" s="6"/>
      <c r="AKT427" s="6"/>
      <c r="AKU427" s="6"/>
      <c r="AKV427" s="6"/>
      <c r="AKW427" s="6"/>
      <c r="AKX427" s="6"/>
      <c r="AKY427" s="6"/>
      <c r="AKZ427" s="6"/>
      <c r="ALA427" s="6"/>
      <c r="ALB427" s="6"/>
      <c r="ALC427" s="6"/>
      <c r="ALD427" s="6"/>
      <c r="ALE427" s="6"/>
      <c r="ALF427" s="6"/>
      <c r="ALG427" s="6"/>
      <c r="ALH427" s="6"/>
      <c r="ALI427" s="6"/>
      <c r="ALJ427" s="6"/>
      <c r="ALK427" s="6"/>
      <c r="ALL427" s="6"/>
      <c r="ALM427" s="6"/>
      <c r="ALN427" s="6"/>
      <c r="ALO427" s="6"/>
      <c r="ALP427" s="6"/>
      <c r="ALQ427" s="6"/>
      <c r="ALR427" s="6"/>
      <c r="ALS427" s="6"/>
      <c r="ALT427" s="6"/>
      <c r="ALU427" s="6"/>
      <c r="ALV427" s="6"/>
      <c r="ALW427" s="6"/>
      <c r="ALX427" s="6"/>
      <c r="ALY427" s="6"/>
      <c r="ALZ427" s="6"/>
      <c r="AMA427" s="6"/>
      <c r="AMB427" s="6"/>
      <c r="AMC427" s="6"/>
      <c r="AMD427" s="6"/>
      <c r="AME427" s="6"/>
      <c r="AMF427" s="6"/>
      <c r="AMG427" s="6"/>
      <c r="AMH427" s="6"/>
      <c r="AMI427" s="6"/>
      <c r="AMJ427" s="6"/>
      <c r="AMK427" s="6"/>
      <c r="AML427" s="6"/>
      <c r="AMM427" s="6"/>
      <c r="AMN427" s="6"/>
      <c r="AMO427" s="6"/>
      <c r="AMP427" s="6"/>
    </row>
    <row r="428" spans="1:1030" x14ac:dyDescent="0.2">
      <c r="A428" s="3" t="str">
        <f t="shared" si="3885"/>
        <v>calrl_human__wt</v>
      </c>
      <c r="B428" s="2" t="s">
        <v>401</v>
      </c>
      <c r="C428" s="3" t="s">
        <v>100</v>
      </c>
      <c r="D428" s="3" t="str">
        <f>IFERROR(MID(VLOOKUP($B428,Seqs!$A:$B,2,0),E428,1),"")</f>
        <v>N</v>
      </c>
      <c r="E428" s="3">
        <v>130</v>
      </c>
      <c r="F428" s="3" t="str">
        <f>IFERROR(MID(VLOOKUP($B428,Seqs!$A:$B,2,0),G428,1),"")</f>
        <v>F</v>
      </c>
      <c r="G428" s="3">
        <v>166</v>
      </c>
      <c r="H428" s="3" t="str">
        <f>IFERROR(MID(VLOOKUP($B428,Seqs!$A:$B,2,0),I428,1),"")</f>
        <v>K</v>
      </c>
      <c r="I428" s="23">
        <v>167</v>
      </c>
      <c r="J428" s="3" t="str">
        <f>IFERROR(MID(VLOOKUP($B428,Seqs!$A:$B,2,0),K428,1),"")</f>
        <v>S</v>
      </c>
      <c r="K428" s="23">
        <v>170</v>
      </c>
      <c r="L428" s="3" t="str">
        <f>IFERROR(MID(VLOOKUP($B428,Seqs!$A:$B,2,0),M428,1),"")</f>
        <v>C</v>
      </c>
      <c r="M428" s="3">
        <v>171</v>
      </c>
      <c r="N428" s="3" t="str">
        <f>IFERROR(MID(VLOOKUP($B428,Seqs!$A:$B,2,0),O428,1),"")</f>
        <v>V</v>
      </c>
      <c r="O428" s="3">
        <v>198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V</v>
      </c>
      <c r="U428" s="3">
        <v>210</v>
      </c>
      <c r="V428" s="3" t="str">
        <f>IFERROR(MID(VLOOKUP($B428,Seqs!$A:$B,2,0),W428,1),"")</f>
        <v>V</v>
      </c>
      <c r="W428" s="3">
        <v>243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H</v>
      </c>
      <c r="AC428" s="3">
        <v>251</v>
      </c>
      <c r="AD428" s="3" t="str">
        <f>IFERROR(MID(VLOOKUP($B428,Seqs!$A:$B,2,0),AE428,1),"")</f>
        <v>Y</v>
      </c>
      <c r="AE428" s="3">
        <v>277</v>
      </c>
      <c r="AF428" s="3" t="str">
        <f>IFERROR(MID(VLOOKUP($B428,Seqs!$A:$B,2,0),AG428,1),"")</f>
        <v>C</v>
      </c>
      <c r="AG428" s="3">
        <v>282</v>
      </c>
      <c r="AH428" s="3" t="str">
        <f>IFERROR(MID(VLOOKUP($B428,Seqs!$A:$B,2,0),AI428,1),"")</f>
        <v>I</v>
      </c>
      <c r="AI428" s="3">
        <v>284</v>
      </c>
      <c r="AJ428" s="3" t="str">
        <f>IFERROR(MID(VLOOKUP($B428,Seqs!$A:$B,2,0),AK428,1),"")</f>
        <v>L</v>
      </c>
      <c r="AK428" s="3">
        <v>290</v>
      </c>
      <c r="AL428" s="3" t="str">
        <f>IFERROR(MID(VLOOKUP($B428,Seqs!$A:$B,2,0),AM428,1),"")</f>
        <v>K</v>
      </c>
      <c r="AM428" s="3">
        <v>321</v>
      </c>
      <c r="AN428" s="3" t="str">
        <f>IFERROR(MID(VLOOKUP($B428,Seqs!$A:$B,2,0),AO428,1),"")</f>
        <v>Y</v>
      </c>
      <c r="AO428" s="3">
        <v>331</v>
      </c>
      <c r="AP428" s="3" t="str">
        <f>IFERROR(MID(VLOOKUP($B428,Seqs!$A:$B,2,0),AQ428,1),"")</f>
        <v>W</v>
      </c>
      <c r="AQ428" s="3">
        <v>354</v>
      </c>
      <c r="AR428" s="3" t="str">
        <f>IFERROR(MID(VLOOKUP($B428,Seqs!$A:$B,2,0),AS428,1),"")</f>
        <v>K</v>
      </c>
      <c r="AS428" s="3">
        <v>359</v>
      </c>
      <c r="AT428" s="3" t="str">
        <f>IFERROR(MID(VLOOKUP($B428,Seqs!$A:$B,2,0),AU428,1),"")</f>
        <v>F</v>
      </c>
      <c r="AU428" s="3">
        <v>387</v>
      </c>
      <c r="AV428" s="3" t="str">
        <f>IFERROR(MID(VLOOKUP($B428,Seqs!$A:$B,2,0),AW428,1),"")</f>
        <v>N</v>
      </c>
      <c r="AW428" s="3">
        <v>388</v>
      </c>
      <c r="AX428" s="3" t="str">
        <f>IFERROR(MID(VLOOKUP($B428,Seqs!$A:$B,2,0),AY428,1),"")</f>
        <v>S</v>
      </c>
      <c r="AY428" s="3">
        <v>413</v>
      </c>
      <c r="AZ428" s="77" t="str">
        <f>VLOOKUP(B428,Classification!A:D,2,0)</f>
        <v>B1</v>
      </c>
      <c r="BA428" s="94" t="str">
        <f>VLOOKUP(B428,Classification!A:D,4,0)</f>
        <v>Calcitonin</v>
      </c>
      <c r="BB428" s="27" t="b">
        <f t="shared" ref="BB428" si="3970">AND(E428&lt;G428,OR(G428&lt;I428,I428="-"),OR(I428&lt;K428,I428="-"),OR(K428&lt;M428,K428="-"),M428&lt;O428,OR(O428&lt;Q428,Q428="-"),OR(Q428&lt;S428,Q428="-"),OR(S428&lt;U428,S428="-"),U428&lt;W428,OR(W428&lt;Y428,Y428="-"),OR(Y428&lt;AA428,Y428="-"),OR(AA428&lt;AC428,AA428="-"),AC428&lt;AE428,OR(AE428&lt;AG428,AG428="-"),OR(AG428&lt;AI428,AG428="-"),OR(AI428&lt;AK428,AI428="-"),AK428&lt;AM428,AM428&lt;AO428,AO428&lt;AQ428,AQ428&lt;AS428,AS428&lt;AU428,OR(AU428&lt;AW428,AW428="-"),OR(AW428&lt;AY428,AW428="-"))</f>
        <v>1</v>
      </c>
      <c r="BC428" s="23">
        <f t="shared" ref="BC428" si="3971">_xlfn.AGGREGATE(9,6,CH428:CS428)-_xlfn.AGGREGATE(9,6,BV428:CG428)+12</f>
        <v>246</v>
      </c>
      <c r="BD428" s="4" t="s">
        <v>23</v>
      </c>
      <c r="BE428" s="3" t="s">
        <v>23</v>
      </c>
      <c r="BF428" s="118" t="s">
        <v>23</v>
      </c>
      <c r="BG428" s="49" t="s">
        <v>1373</v>
      </c>
      <c r="BH428" s="49" t="s">
        <v>1373</v>
      </c>
      <c r="BI428" s="1"/>
      <c r="BJ428" s="70" t="s">
        <v>1283</v>
      </c>
      <c r="BK428" s="57" t="s">
        <v>1283</v>
      </c>
      <c r="BL428" s="57" t="s">
        <v>1283</v>
      </c>
      <c r="BM428" s="57" t="s">
        <v>1283</v>
      </c>
      <c r="BN428" s="57" t="s">
        <v>1283</v>
      </c>
      <c r="BO428" s="57" t="s">
        <v>1283</v>
      </c>
      <c r="BP428" s="57" t="s">
        <v>1283</v>
      </c>
      <c r="BQ428" s="57" t="s">
        <v>1283</v>
      </c>
      <c r="BR428" s="57" t="s">
        <v>1283</v>
      </c>
      <c r="BS428" s="57" t="s">
        <v>1283</v>
      </c>
      <c r="BT428" s="57" t="s">
        <v>1283</v>
      </c>
      <c r="BU428" s="57" t="s">
        <v>1283</v>
      </c>
      <c r="BV428" s="70">
        <f t="shared" ref="BV428" si="3972">E428</f>
        <v>130</v>
      </c>
      <c r="BW428" s="71">
        <f t="shared" ref="BW428" si="3973">I428</f>
        <v>167</v>
      </c>
      <c r="BX428" s="72">
        <f t="shared" ref="BX428" si="3974">M428</f>
        <v>171</v>
      </c>
      <c r="BY428" s="71" t="str">
        <f t="shared" ref="BY428" si="3975">Q428</f>
        <v>-</v>
      </c>
      <c r="BZ428" s="72">
        <f t="shared" ref="BZ428" si="3976">U428</f>
        <v>210</v>
      </c>
      <c r="CA428" s="71" t="str">
        <f t="shared" ref="CA428" si="3977">Y428</f>
        <v>-</v>
      </c>
      <c r="CB428" s="72">
        <f t="shared" ref="CB428" si="3978">AC428</f>
        <v>251</v>
      </c>
      <c r="CC428" s="71">
        <f t="shared" ref="CC428" si="3979">AG428</f>
        <v>282</v>
      </c>
      <c r="CD428" s="72">
        <f t="shared" ref="CD428" si="3980">AK428</f>
        <v>290</v>
      </c>
      <c r="CE428" s="71">
        <f t="shared" ref="CE428" si="3981">AO428</f>
        <v>331</v>
      </c>
      <c r="CF428" s="72">
        <f t="shared" ref="CF428" si="3982">AS428</f>
        <v>359</v>
      </c>
      <c r="CG428" s="71">
        <f t="shared" ref="CG428" si="3983">AW428</f>
        <v>388</v>
      </c>
      <c r="CH428" s="70">
        <f t="shared" ref="CH428" si="3984">G428</f>
        <v>166</v>
      </c>
      <c r="CI428" s="71">
        <f t="shared" ref="CI428" si="3985">K428</f>
        <v>170</v>
      </c>
      <c r="CJ428" s="72">
        <f t="shared" ref="CJ428" si="3986">O428</f>
        <v>198</v>
      </c>
      <c r="CK428" s="72" t="str">
        <f t="shared" ref="CK428" si="3987">S428</f>
        <v>-</v>
      </c>
      <c r="CL428" s="72">
        <f t="shared" ref="CL428" si="3988">W428</f>
        <v>243</v>
      </c>
      <c r="CM428" s="72" t="str">
        <f t="shared" ref="CM428" si="3989">AA428</f>
        <v>-</v>
      </c>
      <c r="CN428" s="72">
        <f t="shared" ref="CN428" si="3990">AE428</f>
        <v>277</v>
      </c>
      <c r="CO428" s="72">
        <f t="shared" ref="CO428" si="3991">AI428</f>
        <v>284</v>
      </c>
      <c r="CP428" s="72">
        <f t="shared" ref="CP428" si="3992">AM428</f>
        <v>321</v>
      </c>
      <c r="CQ428" s="72">
        <f t="shared" ref="CQ428" si="3993">AQ428</f>
        <v>354</v>
      </c>
      <c r="CR428" s="72">
        <f t="shared" ref="CR428" si="3994">AU428</f>
        <v>387</v>
      </c>
      <c r="CS428" s="72">
        <f t="shared" ref="CS428" si="3995">AY428</f>
        <v>413</v>
      </c>
      <c r="CT428" s="23">
        <f t="shared" ref="CT428" si="3996">M428-K428</f>
        <v>1</v>
      </c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  <c r="SC428" s="6"/>
      <c r="SD428" s="6"/>
      <c r="SE428" s="6"/>
      <c r="SF428" s="6"/>
      <c r="SG428" s="6"/>
      <c r="SH428" s="6"/>
      <c r="SI428" s="6"/>
      <c r="SJ428" s="6"/>
      <c r="SK428" s="6"/>
      <c r="SL428" s="6"/>
      <c r="SM428" s="6"/>
      <c r="SN428" s="6"/>
      <c r="SO428" s="6"/>
      <c r="SP428" s="6"/>
      <c r="SQ428" s="6"/>
      <c r="SR428" s="6"/>
      <c r="SS428" s="6"/>
      <c r="ST428" s="6"/>
      <c r="SU428" s="6"/>
      <c r="SV428" s="6"/>
      <c r="SW428" s="6"/>
      <c r="SX428" s="6"/>
      <c r="SY428" s="6"/>
      <c r="SZ428" s="6"/>
      <c r="TA428" s="6"/>
      <c r="TB428" s="6"/>
      <c r="TC428" s="6"/>
      <c r="TD428" s="6"/>
      <c r="TE428" s="6"/>
      <c r="TF428" s="6"/>
      <c r="TG428" s="6"/>
      <c r="TH428" s="6"/>
      <c r="TI428" s="6"/>
      <c r="TJ428" s="6"/>
      <c r="TK428" s="6"/>
      <c r="TL428" s="6"/>
      <c r="TM428" s="6"/>
      <c r="TN428" s="6"/>
      <c r="TO428" s="6"/>
      <c r="TP428" s="6"/>
      <c r="TQ428" s="6"/>
      <c r="TR428" s="6"/>
      <c r="TS428" s="6"/>
      <c r="TT428" s="6"/>
      <c r="TU428" s="6"/>
      <c r="TV428" s="6"/>
      <c r="TW428" s="6"/>
      <c r="TX428" s="6"/>
      <c r="TY428" s="6"/>
      <c r="TZ428" s="6"/>
      <c r="UA428" s="6"/>
      <c r="UB428" s="6"/>
      <c r="UC428" s="6"/>
      <c r="UD428" s="6"/>
      <c r="UE428" s="6"/>
      <c r="UF428" s="6"/>
      <c r="UG428" s="6"/>
      <c r="UH428" s="6"/>
      <c r="UI428" s="6"/>
      <c r="UJ428" s="6"/>
      <c r="UK428" s="6"/>
      <c r="UL428" s="6"/>
      <c r="UM428" s="6"/>
      <c r="UN428" s="6"/>
      <c r="UO428" s="6"/>
      <c r="UP428" s="6"/>
      <c r="UQ428" s="6"/>
      <c r="UR428" s="6"/>
      <c r="US428" s="6"/>
      <c r="UT428" s="6"/>
      <c r="UU428" s="6"/>
      <c r="UV428" s="6"/>
      <c r="UW428" s="6"/>
      <c r="UX428" s="6"/>
      <c r="UY428" s="6"/>
      <c r="UZ428" s="6"/>
      <c r="VA428" s="6"/>
      <c r="VB428" s="6"/>
      <c r="VC428" s="6"/>
      <c r="VD428" s="6"/>
      <c r="VE428" s="6"/>
      <c r="VF428" s="6"/>
      <c r="VG428" s="6"/>
      <c r="VH428" s="6"/>
      <c r="VI428" s="6"/>
      <c r="VJ428" s="6"/>
      <c r="VK428" s="6"/>
      <c r="VL428" s="6"/>
      <c r="VM428" s="6"/>
      <c r="VN428" s="6"/>
      <c r="VO428" s="6"/>
      <c r="VP428" s="6"/>
      <c r="VQ428" s="6"/>
      <c r="VR428" s="6"/>
      <c r="VS428" s="6"/>
      <c r="VT428" s="6"/>
      <c r="VU428" s="6"/>
      <c r="VV428" s="6"/>
      <c r="VW428" s="6"/>
      <c r="VX428" s="6"/>
      <c r="VY428" s="6"/>
      <c r="VZ428" s="6"/>
      <c r="WA428" s="6"/>
      <c r="WB428" s="6"/>
      <c r="WC428" s="6"/>
      <c r="WD428" s="6"/>
      <c r="WE428" s="6"/>
      <c r="WF428" s="6"/>
      <c r="WG428" s="6"/>
      <c r="WH428" s="6"/>
      <c r="WI428" s="6"/>
      <c r="WJ428" s="6"/>
      <c r="WK428" s="6"/>
      <c r="WL428" s="6"/>
      <c r="WM428" s="6"/>
      <c r="WN428" s="6"/>
      <c r="WO428" s="6"/>
      <c r="WP428" s="6"/>
      <c r="WQ428" s="6"/>
      <c r="WR428" s="6"/>
      <c r="WS428" s="6"/>
      <c r="WT428" s="6"/>
      <c r="WU428" s="6"/>
      <c r="WV428" s="6"/>
      <c r="WW428" s="6"/>
      <c r="WX428" s="6"/>
      <c r="WY428" s="6"/>
      <c r="WZ428" s="6"/>
      <c r="XA428" s="6"/>
      <c r="XB428" s="6"/>
      <c r="XC428" s="6"/>
      <c r="XD428" s="6"/>
      <c r="XE428" s="6"/>
      <c r="XF428" s="6"/>
      <c r="XG428" s="6"/>
      <c r="XH428" s="6"/>
      <c r="XI428" s="6"/>
      <c r="XJ428" s="6"/>
      <c r="XK428" s="6"/>
      <c r="XL428" s="6"/>
      <c r="XM428" s="6"/>
      <c r="XN428" s="6"/>
      <c r="XO428" s="6"/>
      <c r="XP428" s="6"/>
      <c r="XQ428" s="6"/>
      <c r="XR428" s="6"/>
      <c r="XS428" s="6"/>
      <c r="XT428" s="6"/>
      <c r="XU428" s="6"/>
      <c r="XV428" s="6"/>
      <c r="XW428" s="6"/>
      <c r="XX428" s="6"/>
      <c r="XY428" s="6"/>
      <c r="XZ428" s="6"/>
      <c r="YA428" s="6"/>
      <c r="YB428" s="6"/>
      <c r="YC428" s="6"/>
      <c r="YD428" s="6"/>
      <c r="YE428" s="6"/>
      <c r="YF428" s="6"/>
      <c r="YG428" s="6"/>
      <c r="YH428" s="6"/>
      <c r="YI428" s="6"/>
      <c r="YJ428" s="6"/>
      <c r="YK428" s="6"/>
      <c r="YL428" s="6"/>
      <c r="YM428" s="6"/>
      <c r="YN428" s="6"/>
      <c r="YO428" s="6"/>
      <c r="YP428" s="6"/>
      <c r="YQ428" s="6"/>
      <c r="YR428" s="6"/>
      <c r="YS428" s="6"/>
      <c r="YT428" s="6"/>
      <c r="YU428" s="6"/>
      <c r="YV428" s="6"/>
      <c r="YW428" s="6"/>
      <c r="YX428" s="6"/>
      <c r="YY428" s="6"/>
      <c r="YZ428" s="6"/>
      <c r="ZA428" s="6"/>
      <c r="ZB428" s="6"/>
      <c r="ZC428" s="6"/>
      <c r="ZD428" s="6"/>
      <c r="ZE428" s="6"/>
      <c r="ZF428" s="6"/>
      <c r="ZG428" s="6"/>
      <c r="ZH428" s="6"/>
      <c r="ZI428" s="6"/>
      <c r="ZJ428" s="6"/>
      <c r="ZK428" s="6"/>
      <c r="ZL428" s="6"/>
      <c r="ZM428" s="6"/>
      <c r="ZN428" s="6"/>
      <c r="ZO428" s="6"/>
      <c r="ZP428" s="6"/>
      <c r="ZQ428" s="6"/>
      <c r="ZR428" s="6"/>
      <c r="ZS428" s="6"/>
      <c r="ZT428" s="6"/>
      <c r="ZU428" s="6"/>
      <c r="ZV428" s="6"/>
      <c r="ZW428" s="6"/>
      <c r="ZX428" s="6"/>
      <c r="ZY428" s="6"/>
      <c r="ZZ428" s="6"/>
      <c r="AAA428" s="6"/>
      <c r="AAB428" s="6"/>
      <c r="AAC428" s="6"/>
      <c r="AAD428" s="6"/>
      <c r="AAE428" s="6"/>
      <c r="AAF428" s="6"/>
      <c r="AAG428" s="6"/>
      <c r="AAH428" s="6"/>
      <c r="AAI428" s="6"/>
      <c r="AAJ428" s="6"/>
      <c r="AAK428" s="6"/>
      <c r="AAL428" s="6"/>
      <c r="AAM428" s="6"/>
      <c r="AAN428" s="6"/>
      <c r="AAO428" s="6"/>
      <c r="AAP428" s="6"/>
      <c r="AAQ428" s="6"/>
      <c r="AAR428" s="6"/>
      <c r="AAS428" s="6"/>
      <c r="AAT428" s="6"/>
      <c r="AAU428" s="6"/>
      <c r="AAV428" s="6"/>
      <c r="AAW428" s="6"/>
      <c r="AAX428" s="6"/>
      <c r="AAY428" s="6"/>
      <c r="AAZ428" s="6"/>
      <c r="ABA428" s="6"/>
      <c r="ABB428" s="6"/>
      <c r="ABC428" s="6"/>
      <c r="ABD428" s="6"/>
      <c r="ABE428" s="6"/>
      <c r="ABF428" s="6"/>
      <c r="ABG428" s="6"/>
      <c r="ABH428" s="6"/>
      <c r="ABI428" s="6"/>
      <c r="ABJ428" s="6"/>
      <c r="ABK428" s="6"/>
      <c r="ABL428" s="6"/>
      <c r="ABM428" s="6"/>
      <c r="ABN428" s="6"/>
      <c r="ABO428" s="6"/>
      <c r="ABP428" s="6"/>
      <c r="ABQ428" s="6"/>
      <c r="ABR428" s="6"/>
      <c r="ABS428" s="6"/>
      <c r="ABT428" s="6"/>
      <c r="ABU428" s="6"/>
      <c r="ABV428" s="6"/>
      <c r="ABW428" s="6"/>
      <c r="ABX428" s="6"/>
      <c r="ABY428" s="6"/>
      <c r="ABZ428" s="6"/>
      <c r="ACA428" s="6"/>
      <c r="ACB428" s="6"/>
      <c r="ACC428" s="6"/>
      <c r="ACD428" s="6"/>
      <c r="ACE428" s="6"/>
      <c r="ACF428" s="6"/>
      <c r="ACG428" s="6"/>
      <c r="ACH428" s="6"/>
      <c r="ACI428" s="6"/>
      <c r="ACJ428" s="6"/>
      <c r="ACK428" s="6"/>
      <c r="ACL428" s="6"/>
      <c r="ACM428" s="6"/>
      <c r="ACN428" s="6"/>
      <c r="ACO428" s="6"/>
      <c r="ACP428" s="6"/>
      <c r="ACQ428" s="6"/>
      <c r="ACR428" s="6"/>
      <c r="ACS428" s="6"/>
      <c r="ACT428" s="6"/>
      <c r="ACU428" s="6"/>
      <c r="ACV428" s="6"/>
      <c r="ACW428" s="6"/>
      <c r="ACX428" s="6"/>
      <c r="ACY428" s="6"/>
      <c r="ACZ428" s="6"/>
      <c r="ADA428" s="6"/>
      <c r="ADB428" s="6"/>
      <c r="ADC428" s="6"/>
      <c r="ADD428" s="6"/>
      <c r="ADE428" s="6"/>
      <c r="ADF428" s="6"/>
      <c r="ADG428" s="6"/>
      <c r="ADH428" s="6"/>
      <c r="ADI428" s="6"/>
      <c r="ADJ428" s="6"/>
      <c r="ADK428" s="6"/>
      <c r="ADL428" s="6"/>
      <c r="ADM428" s="6"/>
      <c r="ADN428" s="6"/>
      <c r="ADO428" s="6"/>
      <c r="ADP428" s="6"/>
      <c r="ADQ428" s="6"/>
      <c r="ADR428" s="6"/>
      <c r="ADS428" s="6"/>
      <c r="ADT428" s="6"/>
      <c r="ADU428" s="6"/>
      <c r="ADV428" s="6"/>
      <c r="ADW428" s="6"/>
      <c r="ADX428" s="6"/>
      <c r="ADY428" s="6"/>
      <c r="ADZ428" s="6"/>
      <c r="AEA428" s="6"/>
      <c r="AEB428" s="6"/>
      <c r="AEC428" s="6"/>
      <c r="AED428" s="6"/>
      <c r="AEE428" s="6"/>
      <c r="AEF428" s="6"/>
      <c r="AEG428" s="6"/>
      <c r="AEH428" s="6"/>
      <c r="AEI428" s="6"/>
      <c r="AEJ428" s="6"/>
      <c r="AEK428" s="6"/>
      <c r="AEL428" s="6"/>
      <c r="AEM428" s="6"/>
      <c r="AEN428" s="6"/>
      <c r="AEO428" s="6"/>
      <c r="AEP428" s="6"/>
      <c r="AEQ428" s="6"/>
      <c r="AER428" s="6"/>
      <c r="AES428" s="6"/>
      <c r="AET428" s="6"/>
      <c r="AEU428" s="6"/>
      <c r="AEV428" s="6"/>
      <c r="AEW428" s="6"/>
      <c r="AEX428" s="6"/>
      <c r="AEY428" s="6"/>
      <c r="AEZ428" s="6"/>
      <c r="AFA428" s="6"/>
      <c r="AFB428" s="6"/>
      <c r="AFC428" s="6"/>
      <c r="AFD428" s="6"/>
      <c r="AFE428" s="6"/>
      <c r="AFF428" s="6"/>
      <c r="AFG428" s="6"/>
      <c r="AFH428" s="6"/>
      <c r="AFI428" s="6"/>
      <c r="AFJ428" s="6"/>
      <c r="AFK428" s="6"/>
      <c r="AFL428" s="6"/>
      <c r="AFM428" s="6"/>
      <c r="AFN428" s="6"/>
      <c r="AFO428" s="6"/>
      <c r="AFP428" s="6"/>
      <c r="AFQ428" s="6"/>
      <c r="AFR428" s="6"/>
      <c r="AFS428" s="6"/>
      <c r="AFT428" s="6"/>
      <c r="AFU428" s="6"/>
      <c r="AFV428" s="6"/>
      <c r="AFW428" s="6"/>
      <c r="AFX428" s="6"/>
      <c r="AFY428" s="6"/>
      <c r="AFZ428" s="6"/>
      <c r="AGA428" s="6"/>
      <c r="AGB428" s="6"/>
      <c r="AGC428" s="6"/>
      <c r="AGD428" s="6"/>
      <c r="AGE428" s="6"/>
      <c r="AGF428" s="6"/>
      <c r="AGG428" s="6"/>
      <c r="AGH428" s="6"/>
      <c r="AGI428" s="6"/>
      <c r="AGJ428" s="6"/>
      <c r="AGK428" s="6"/>
      <c r="AGL428" s="6"/>
      <c r="AGM428" s="6"/>
      <c r="AGN428" s="6"/>
      <c r="AGO428" s="6"/>
      <c r="AGP428" s="6"/>
      <c r="AGQ428" s="6"/>
      <c r="AGR428" s="6"/>
      <c r="AGS428" s="6"/>
      <c r="AGT428" s="6"/>
      <c r="AGU428" s="6"/>
      <c r="AGV428" s="6"/>
      <c r="AGW428" s="6"/>
      <c r="AGX428" s="6"/>
      <c r="AGY428" s="6"/>
      <c r="AGZ428" s="6"/>
      <c r="AHA428" s="6"/>
      <c r="AHB428" s="6"/>
      <c r="AHC428" s="6"/>
      <c r="AHD428" s="6"/>
      <c r="AHE428" s="6"/>
      <c r="AHF428" s="6"/>
      <c r="AHG428" s="6"/>
      <c r="AHH428" s="6"/>
      <c r="AHI428" s="6"/>
      <c r="AHJ428" s="6"/>
      <c r="AHK428" s="6"/>
      <c r="AHL428" s="6"/>
      <c r="AHM428" s="6"/>
      <c r="AHN428" s="6"/>
      <c r="AHO428" s="6"/>
      <c r="AHP428" s="6"/>
      <c r="AHQ428" s="6"/>
      <c r="AHR428" s="6"/>
      <c r="AHS428" s="6"/>
      <c r="AHT428" s="6"/>
      <c r="AHU428" s="6"/>
      <c r="AHV428" s="6"/>
      <c r="AHW428" s="6"/>
      <c r="AHX428" s="6"/>
      <c r="AHY428" s="6"/>
      <c r="AHZ428" s="6"/>
      <c r="AIA428" s="6"/>
      <c r="AIB428" s="6"/>
      <c r="AIC428" s="6"/>
      <c r="AID428" s="6"/>
      <c r="AIE428" s="6"/>
      <c r="AIF428" s="6"/>
      <c r="AIG428" s="6"/>
      <c r="AIH428" s="6"/>
      <c r="AII428" s="6"/>
      <c r="AIJ428" s="6"/>
      <c r="AIK428" s="6"/>
      <c r="AIL428" s="6"/>
      <c r="AIM428" s="6"/>
      <c r="AIN428" s="6"/>
      <c r="AIO428" s="6"/>
      <c r="AIP428" s="6"/>
      <c r="AIQ428" s="6"/>
      <c r="AIR428" s="6"/>
      <c r="AIS428" s="6"/>
      <c r="AIT428" s="6"/>
      <c r="AIU428" s="6"/>
      <c r="AIV428" s="6"/>
      <c r="AIW428" s="6"/>
      <c r="AIX428" s="6"/>
      <c r="AIY428" s="6"/>
      <c r="AIZ428" s="6"/>
      <c r="AJA428" s="6"/>
      <c r="AJB428" s="6"/>
      <c r="AJC428" s="6"/>
      <c r="AJD428" s="6"/>
      <c r="AJE428" s="6"/>
      <c r="AJF428" s="6"/>
      <c r="AJG428" s="6"/>
      <c r="AJH428" s="6"/>
      <c r="AJI428" s="6"/>
      <c r="AJJ428" s="6"/>
      <c r="AJK428" s="6"/>
      <c r="AJL428" s="6"/>
      <c r="AJM428" s="6"/>
      <c r="AJN428" s="6"/>
      <c r="AJO428" s="6"/>
      <c r="AJP428" s="6"/>
      <c r="AJQ428" s="6"/>
      <c r="AJR428" s="6"/>
      <c r="AJS428" s="6"/>
      <c r="AJT428" s="6"/>
      <c r="AJU428" s="6"/>
      <c r="AJV428" s="6"/>
      <c r="AJW428" s="6"/>
      <c r="AJX428" s="6"/>
      <c r="AJY428" s="6"/>
      <c r="AJZ428" s="6"/>
      <c r="AKA428" s="6"/>
      <c r="AKB428" s="6"/>
      <c r="AKC428" s="6"/>
      <c r="AKD428" s="6"/>
      <c r="AKE428" s="6"/>
      <c r="AKF428" s="6"/>
      <c r="AKG428" s="6"/>
      <c r="AKH428" s="6"/>
      <c r="AKI428" s="6"/>
      <c r="AKJ428" s="6"/>
      <c r="AKK428" s="6"/>
      <c r="AKL428" s="6"/>
      <c r="AKM428" s="6"/>
      <c r="AKN428" s="6"/>
      <c r="AKO428" s="6"/>
      <c r="AKP428" s="6"/>
      <c r="AKQ428" s="6"/>
      <c r="AKR428" s="6"/>
      <c r="AKS428" s="6"/>
      <c r="AKT428" s="6"/>
      <c r="AKU428" s="6"/>
      <c r="AKV428" s="6"/>
      <c r="AKW428" s="6"/>
      <c r="AKX428" s="6"/>
      <c r="AKY428" s="6"/>
      <c r="AKZ428" s="6"/>
      <c r="ALA428" s="6"/>
      <c r="ALB428" s="6"/>
      <c r="ALC428" s="6"/>
      <c r="ALD428" s="6"/>
      <c r="ALE428" s="6"/>
      <c r="ALF428" s="6"/>
      <c r="ALG428" s="6"/>
      <c r="ALH428" s="6"/>
      <c r="ALI428" s="6"/>
      <c r="ALJ428" s="6"/>
      <c r="ALK428" s="6"/>
      <c r="ALL428" s="6"/>
      <c r="ALM428" s="6"/>
      <c r="ALN428" s="6"/>
      <c r="ALO428" s="6"/>
      <c r="ALP428" s="6"/>
      <c r="ALQ428" s="6"/>
      <c r="ALR428" s="6"/>
      <c r="ALS428" s="6"/>
      <c r="ALT428" s="6"/>
      <c r="ALU428" s="6"/>
      <c r="ALV428" s="6"/>
      <c r="ALW428" s="6"/>
      <c r="ALX428" s="6"/>
      <c r="ALY428" s="6"/>
      <c r="ALZ428" s="6"/>
      <c r="AMA428" s="6"/>
      <c r="AMB428" s="6"/>
      <c r="AMC428" s="6"/>
      <c r="AMD428" s="6"/>
      <c r="AME428" s="6"/>
      <c r="AMF428" s="6"/>
      <c r="AMG428" s="6"/>
      <c r="AMH428" s="6"/>
      <c r="AMI428" s="6"/>
      <c r="AMJ428" s="6"/>
      <c r="AMK428" s="6"/>
      <c r="AML428" s="6"/>
      <c r="AMM428" s="6"/>
      <c r="AMN428" s="6"/>
      <c r="AMO428" s="6"/>
      <c r="AMP428" s="6"/>
    </row>
    <row r="429" spans="1:1030" x14ac:dyDescent="0.2">
      <c r="A429" s="3" t="str">
        <f t="shared" si="3885"/>
        <v>calrl_human_6E3Y</v>
      </c>
      <c r="B429" s="2" t="s">
        <v>401</v>
      </c>
      <c r="C429" s="3" t="s">
        <v>1512</v>
      </c>
      <c r="D429" s="3" t="str">
        <f>IFERROR(MID(VLOOKUP($B429,Seqs!$A:$B,2,0),E429,1),"")</f>
        <v>N</v>
      </c>
      <c r="E429" s="3">
        <v>130</v>
      </c>
      <c r="F429" s="3" t="str">
        <f>IFERROR(MID(VLOOKUP($B429,Seqs!$A:$B,2,0),G429,1),"")</f>
        <v>F</v>
      </c>
      <c r="G429" s="3">
        <v>166</v>
      </c>
      <c r="H429" s="3" t="str">
        <f>IFERROR(MID(VLOOKUP($B429,Seqs!$A:$B,2,0),I429,1),"")</f>
        <v/>
      </c>
      <c r="I429" s="23" t="s">
        <v>23</v>
      </c>
      <c r="J429" s="3" t="str">
        <f>IFERROR(MID(VLOOKUP($B429,Seqs!$A:$B,2,0),K429,1),"")</f>
        <v/>
      </c>
      <c r="K429" s="23" t="s">
        <v>23</v>
      </c>
      <c r="L429" s="3" t="str">
        <f>IFERROR(MID(VLOOKUP($B429,Seqs!$A:$B,2,0),M429,1),"")</f>
        <v>C</v>
      </c>
      <c r="M429" s="3">
        <v>171</v>
      </c>
      <c r="N429" s="3" t="str">
        <f>IFERROR(MID(VLOOKUP($B429,Seqs!$A:$B,2,0),O429,1),"")</f>
        <v>V</v>
      </c>
      <c r="O429" s="3">
        <v>198</v>
      </c>
      <c r="P429" s="3" t="str">
        <f>IFERROR(MID(VLOOKUP($B429,Seqs!$A:$B,2,0),Q429,1),"")</f>
        <v/>
      </c>
      <c r="Q429" s="3" t="s">
        <v>23</v>
      </c>
      <c r="R429" s="3" t="str">
        <f>IFERROR(MID(VLOOKUP($B429,Seqs!$A:$B,2,0),S429,1),"")</f>
        <v/>
      </c>
      <c r="S429" s="3" t="s">
        <v>23</v>
      </c>
      <c r="T429" s="3" t="str">
        <f>IFERROR(MID(VLOOKUP($B429,Seqs!$A:$B,2,0),U429,1),"")</f>
        <v>V</v>
      </c>
      <c r="U429" s="3">
        <v>210</v>
      </c>
      <c r="V429" s="3" t="str">
        <f>IFERROR(MID(VLOOKUP($B429,Seqs!$A:$B,2,0),W429,1),"")</f>
        <v>V</v>
      </c>
      <c r="W429" s="3">
        <v>242</v>
      </c>
      <c r="X429" s="3" t="str">
        <f>IFERROR(MID(VLOOKUP($B429,Seqs!$A:$B,2,0),Y429,1),"")</f>
        <v/>
      </c>
      <c r="Y429" s="3" t="s">
        <v>23</v>
      </c>
      <c r="Z429" s="3" t="str">
        <f>IFERROR(MID(VLOOKUP($B429,Seqs!$A:$B,2,0),AA429,1),"")</f>
        <v/>
      </c>
      <c r="AA429" s="3" t="s">
        <v>23</v>
      </c>
      <c r="AB429" s="3" t="str">
        <f>IFERROR(MID(VLOOKUP($B429,Seqs!$A:$B,2,0),AC429,1),"")</f>
        <v>M</v>
      </c>
      <c r="AC429" s="3">
        <v>253</v>
      </c>
      <c r="AD429" s="3" t="str">
        <f>IFERROR(MID(VLOOKUP($B429,Seqs!$A:$B,2,0),AE429,1),"")</f>
        <v>Y</v>
      </c>
      <c r="AE429" s="3">
        <v>277</v>
      </c>
      <c r="AF429" s="3" t="str">
        <f>IFERROR(MID(VLOOKUP($B429,Seqs!$A:$B,2,0),AG429,1),"")</f>
        <v>C</v>
      </c>
      <c r="AG429" s="3">
        <v>282</v>
      </c>
      <c r="AH429" s="3" t="str">
        <f>IFERROR(MID(VLOOKUP($B429,Seqs!$A:$B,2,0),AI429,1),"")</f>
        <v>I</v>
      </c>
      <c r="AI429" s="3">
        <v>284</v>
      </c>
      <c r="AJ429" s="3" t="str">
        <f>IFERROR(MID(VLOOKUP($B429,Seqs!$A:$B,2,0),AK429,1),"")</f>
        <v>L</v>
      </c>
      <c r="AK429" s="3">
        <v>290</v>
      </c>
      <c r="AL429" s="3" t="str">
        <f>IFERROR(MID(VLOOKUP($B429,Seqs!$A:$B,2,0),AM429,1),"")</f>
        <v>K</v>
      </c>
      <c r="AM429" s="3">
        <v>321</v>
      </c>
      <c r="AN429" s="3" t="str">
        <f>IFERROR(MID(VLOOKUP($B429,Seqs!$A:$B,2,0),AO429,1),"")</f>
        <v>N</v>
      </c>
      <c r="AO429" s="3">
        <v>329</v>
      </c>
      <c r="AP429" s="3" t="str">
        <f>IFERROR(MID(VLOOKUP($B429,Seqs!$A:$B,2,0),AQ429,1),"")</f>
        <v>L</v>
      </c>
      <c r="AQ429" s="3">
        <v>351</v>
      </c>
      <c r="AR429" s="3" t="str">
        <f>IFERROR(MID(VLOOKUP($B429,Seqs!$A:$B,2,0),AS429,1),"")</f>
        <v>V</v>
      </c>
      <c r="AS429" s="3">
        <v>364</v>
      </c>
      <c r="AT429" s="3" t="str">
        <f>IFERROR(MID(VLOOKUP($B429,Seqs!$A:$B,2,0),AU429,1),"")</f>
        <v>F</v>
      </c>
      <c r="AU429" s="3">
        <v>387</v>
      </c>
      <c r="AV429" s="3" t="str">
        <f>IFERROR(MID(VLOOKUP($B429,Seqs!$A:$B,2,0),AW429,1),"")</f>
        <v>N</v>
      </c>
      <c r="AW429" s="3">
        <v>388</v>
      </c>
      <c r="AX429" s="3" t="str">
        <f>IFERROR(MID(VLOOKUP($B429,Seqs!$A:$B,2,0),AY429,1),"")</f>
        <v>W</v>
      </c>
      <c r="AY429" s="3">
        <v>399</v>
      </c>
      <c r="AZ429" s="77" t="str">
        <f>VLOOKUP(B429,Classification!A:D,2,0)</f>
        <v>B1</v>
      </c>
      <c r="BA429" s="94" t="str">
        <f>VLOOKUP(B429,Classification!A:D,4,0)</f>
        <v>Calcitonin</v>
      </c>
      <c r="BB429" s="27" t="b">
        <f t="shared" ref="BB429" si="3997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23">
        <f t="shared" ref="BC429" si="3998">_xlfn.AGGREGATE(9,6,CH429:CS429)-_xlfn.AGGREGATE(9,6,BV429:CG429)+12</f>
        <v>220</v>
      </c>
      <c r="BD429" s="4" t="s">
        <v>23</v>
      </c>
      <c r="BE429" s="3" t="s">
        <v>1287</v>
      </c>
      <c r="BF429" s="118">
        <v>3.3</v>
      </c>
      <c r="BG429" s="49" t="s">
        <v>1418</v>
      </c>
      <c r="BH429" s="49" t="s">
        <v>1418</v>
      </c>
      <c r="BI429" s="1"/>
      <c r="BJ429" s="70" t="s">
        <v>1283</v>
      </c>
      <c r="BK429" s="57" t="s">
        <v>1283</v>
      </c>
      <c r="BL429" s="57" t="s">
        <v>1283</v>
      </c>
      <c r="BM429" s="57" t="s">
        <v>1283</v>
      </c>
      <c r="BN429" s="57" t="s">
        <v>1283</v>
      </c>
      <c r="BO429" s="57" t="s">
        <v>1283</v>
      </c>
      <c r="BP429" s="57" t="s">
        <v>1283</v>
      </c>
      <c r="BQ429" s="57" t="s">
        <v>1283</v>
      </c>
      <c r="BR429" s="57" t="s">
        <v>1283</v>
      </c>
      <c r="BS429" s="57" t="s">
        <v>1283</v>
      </c>
      <c r="BT429" s="57" t="s">
        <v>1283</v>
      </c>
      <c r="BU429" s="57" t="s">
        <v>1283</v>
      </c>
      <c r="BV429" s="70">
        <f t="shared" ref="BV429" si="3999">E429</f>
        <v>130</v>
      </c>
      <c r="BW429" s="71" t="str">
        <f t="shared" ref="BW429" si="4000">I429</f>
        <v>-</v>
      </c>
      <c r="BX429" s="72">
        <f t="shared" ref="BX429" si="4001">M429</f>
        <v>171</v>
      </c>
      <c r="BY429" s="71" t="str">
        <f t="shared" ref="BY429" si="4002">Q429</f>
        <v>-</v>
      </c>
      <c r="BZ429" s="72">
        <f t="shared" ref="BZ429" si="4003">U429</f>
        <v>210</v>
      </c>
      <c r="CA429" s="71" t="str">
        <f t="shared" ref="CA429" si="4004">Y429</f>
        <v>-</v>
      </c>
      <c r="CB429" s="72">
        <f t="shared" ref="CB429" si="4005">AC429</f>
        <v>253</v>
      </c>
      <c r="CC429" s="71">
        <f t="shared" ref="CC429" si="4006">AG429</f>
        <v>282</v>
      </c>
      <c r="CD429" s="72">
        <f t="shared" ref="CD429" si="4007">AK429</f>
        <v>290</v>
      </c>
      <c r="CE429" s="71">
        <f t="shared" ref="CE429" si="4008">AO429</f>
        <v>329</v>
      </c>
      <c r="CF429" s="72">
        <f t="shared" ref="CF429" si="4009">AS429</f>
        <v>364</v>
      </c>
      <c r="CG429" s="71">
        <f t="shared" ref="CG429" si="4010">AW429</f>
        <v>388</v>
      </c>
      <c r="CH429" s="70">
        <f t="shared" ref="CH429" si="4011">G429</f>
        <v>166</v>
      </c>
      <c r="CI429" s="71" t="str">
        <f t="shared" ref="CI429" si="4012">K429</f>
        <v>-</v>
      </c>
      <c r="CJ429" s="72">
        <f t="shared" ref="CJ429" si="4013">O429</f>
        <v>198</v>
      </c>
      <c r="CK429" s="72" t="str">
        <f t="shared" ref="CK429" si="4014">S429</f>
        <v>-</v>
      </c>
      <c r="CL429" s="72">
        <f t="shared" ref="CL429" si="4015">W429</f>
        <v>242</v>
      </c>
      <c r="CM429" s="72" t="str">
        <f t="shared" ref="CM429" si="4016">AA429</f>
        <v>-</v>
      </c>
      <c r="CN429" s="72">
        <f t="shared" ref="CN429" si="4017">AE429</f>
        <v>277</v>
      </c>
      <c r="CO429" s="72">
        <f t="shared" ref="CO429" si="4018">AI429</f>
        <v>284</v>
      </c>
      <c r="CP429" s="72">
        <f t="shared" ref="CP429" si="4019">AM429</f>
        <v>321</v>
      </c>
      <c r="CQ429" s="72">
        <f t="shared" ref="CQ429" si="4020">AQ429</f>
        <v>351</v>
      </c>
      <c r="CR429" s="72">
        <f t="shared" ref="CR429" si="4021">AU429</f>
        <v>387</v>
      </c>
      <c r="CS429" s="72">
        <f t="shared" ref="CS429" si="4022">AY429</f>
        <v>399</v>
      </c>
      <c r="CT429" s="23" t="e">
        <f t="shared" ref="CT429" si="4023">M429-K429</f>
        <v>#VALUE!</v>
      </c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"/>
      <c r="PA429" s="6"/>
      <c r="PB429" s="6"/>
      <c r="PC429" s="6"/>
      <c r="PD429" s="6"/>
      <c r="PE429" s="6"/>
      <c r="PF429" s="6"/>
      <c r="PG429" s="6"/>
      <c r="PH429" s="6"/>
      <c r="PI429" s="6"/>
      <c r="PJ429" s="6"/>
      <c r="PK429" s="6"/>
      <c r="PL429" s="6"/>
      <c r="PM429" s="6"/>
      <c r="PN429" s="6"/>
      <c r="PO429" s="6"/>
      <c r="PP429" s="6"/>
      <c r="PQ429" s="6"/>
      <c r="PR429" s="6"/>
      <c r="PS429" s="6"/>
      <c r="PT429" s="6"/>
      <c r="PU429" s="6"/>
      <c r="PV429" s="6"/>
      <c r="PW429" s="6"/>
      <c r="PX429" s="6"/>
      <c r="PY429" s="6"/>
      <c r="PZ429" s="6"/>
      <c r="QA429" s="6"/>
      <c r="QB429" s="6"/>
      <c r="QC429" s="6"/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r="SC429" s="6"/>
      <c r="SD429" s="6"/>
      <c r="SE429" s="6"/>
      <c r="SF429" s="6"/>
      <c r="SG429" s="6"/>
      <c r="SH429" s="6"/>
      <c r="SI429" s="6"/>
      <c r="SJ429" s="6"/>
      <c r="SK429" s="6"/>
      <c r="SL429" s="6"/>
      <c r="SM429" s="6"/>
      <c r="SN429" s="6"/>
      <c r="SO429" s="6"/>
      <c r="SP429" s="6"/>
      <c r="SQ429" s="6"/>
      <c r="SR429" s="6"/>
      <c r="SS429" s="6"/>
      <c r="ST429" s="6"/>
      <c r="SU429" s="6"/>
      <c r="SV429" s="6"/>
      <c r="SW429" s="6"/>
      <c r="SX429" s="6"/>
      <c r="SY429" s="6"/>
      <c r="SZ429" s="6"/>
      <c r="TA429" s="6"/>
      <c r="TB429" s="6"/>
      <c r="TC429" s="6"/>
      <c r="TD429" s="6"/>
      <c r="TE429" s="6"/>
      <c r="TF429" s="6"/>
      <c r="TG429" s="6"/>
      <c r="TH429" s="6"/>
      <c r="TI429" s="6"/>
      <c r="TJ429" s="6"/>
      <c r="TK429" s="6"/>
      <c r="TL429" s="6"/>
      <c r="TM429" s="6"/>
      <c r="TN429" s="6"/>
      <c r="TO429" s="6"/>
      <c r="TP429" s="6"/>
      <c r="TQ429" s="6"/>
      <c r="TR429" s="6"/>
      <c r="TS429" s="6"/>
      <c r="TT429" s="6"/>
      <c r="TU429" s="6"/>
      <c r="TV429" s="6"/>
      <c r="TW429" s="6"/>
      <c r="TX429" s="6"/>
      <c r="TY429" s="6"/>
      <c r="TZ429" s="6"/>
      <c r="UA429" s="6"/>
      <c r="UB429" s="6"/>
      <c r="UC429" s="6"/>
      <c r="UD429" s="6"/>
      <c r="UE429" s="6"/>
      <c r="UF429" s="6"/>
      <c r="UG429" s="6"/>
      <c r="UH429" s="6"/>
      <c r="UI429" s="6"/>
      <c r="UJ429" s="6"/>
      <c r="UK429" s="6"/>
      <c r="UL429" s="6"/>
      <c r="UM429" s="6"/>
      <c r="UN429" s="6"/>
      <c r="UO429" s="6"/>
      <c r="UP429" s="6"/>
      <c r="UQ429" s="6"/>
      <c r="UR429" s="6"/>
      <c r="US429" s="6"/>
      <c r="UT429" s="6"/>
      <c r="UU429" s="6"/>
      <c r="UV429" s="6"/>
      <c r="UW429" s="6"/>
      <c r="UX429" s="6"/>
      <c r="UY429" s="6"/>
      <c r="UZ429" s="6"/>
      <c r="VA429" s="6"/>
      <c r="VB429" s="6"/>
      <c r="VC429" s="6"/>
      <c r="VD429" s="6"/>
      <c r="VE429" s="6"/>
      <c r="VF429" s="6"/>
      <c r="VG429" s="6"/>
      <c r="VH429" s="6"/>
      <c r="VI429" s="6"/>
      <c r="VJ429" s="6"/>
      <c r="VK429" s="6"/>
      <c r="VL429" s="6"/>
      <c r="VM429" s="6"/>
      <c r="VN429" s="6"/>
      <c r="VO429" s="6"/>
      <c r="VP429" s="6"/>
      <c r="VQ429" s="6"/>
      <c r="VR429" s="6"/>
      <c r="VS429" s="6"/>
      <c r="VT429" s="6"/>
      <c r="VU429" s="6"/>
      <c r="VV429" s="6"/>
      <c r="VW429" s="6"/>
      <c r="VX429" s="6"/>
      <c r="VY429" s="6"/>
      <c r="VZ429" s="6"/>
      <c r="WA429" s="6"/>
      <c r="WB429" s="6"/>
      <c r="WC429" s="6"/>
      <c r="WD429" s="6"/>
      <c r="WE429" s="6"/>
      <c r="WF429" s="6"/>
      <c r="WG429" s="6"/>
      <c r="WH429" s="6"/>
      <c r="WI429" s="6"/>
      <c r="WJ429" s="6"/>
      <c r="WK429" s="6"/>
      <c r="WL429" s="6"/>
      <c r="WM429" s="6"/>
      <c r="WN429" s="6"/>
      <c r="WO429" s="6"/>
      <c r="WP429" s="6"/>
      <c r="WQ429" s="6"/>
      <c r="WR429" s="6"/>
      <c r="WS429" s="6"/>
      <c r="WT429" s="6"/>
      <c r="WU429" s="6"/>
      <c r="WV429" s="6"/>
      <c r="WW429" s="6"/>
      <c r="WX429" s="6"/>
      <c r="WY429" s="6"/>
      <c r="WZ429" s="6"/>
      <c r="XA429" s="6"/>
      <c r="XB429" s="6"/>
      <c r="XC429" s="6"/>
      <c r="XD429" s="6"/>
      <c r="XE429" s="6"/>
      <c r="XF429" s="6"/>
      <c r="XG429" s="6"/>
      <c r="XH429" s="6"/>
      <c r="XI429" s="6"/>
      <c r="XJ429" s="6"/>
      <c r="XK429" s="6"/>
      <c r="XL429" s="6"/>
      <c r="XM429" s="6"/>
      <c r="XN429" s="6"/>
      <c r="XO429" s="6"/>
      <c r="XP429" s="6"/>
      <c r="XQ429" s="6"/>
      <c r="XR429" s="6"/>
      <c r="XS429" s="6"/>
      <c r="XT429" s="6"/>
      <c r="XU429" s="6"/>
      <c r="XV429" s="6"/>
      <c r="XW429" s="6"/>
      <c r="XX429" s="6"/>
      <c r="XY429" s="6"/>
      <c r="XZ429" s="6"/>
      <c r="YA429" s="6"/>
      <c r="YB429" s="6"/>
      <c r="YC429" s="6"/>
      <c r="YD429" s="6"/>
      <c r="YE429" s="6"/>
      <c r="YF429" s="6"/>
      <c r="YG429" s="6"/>
      <c r="YH429" s="6"/>
      <c r="YI429" s="6"/>
      <c r="YJ429" s="6"/>
      <c r="YK429" s="6"/>
      <c r="YL429" s="6"/>
      <c r="YM429" s="6"/>
      <c r="YN429" s="6"/>
      <c r="YO429" s="6"/>
      <c r="YP429" s="6"/>
      <c r="YQ429" s="6"/>
      <c r="YR429" s="6"/>
      <c r="YS429" s="6"/>
      <c r="YT429" s="6"/>
      <c r="YU429" s="6"/>
      <c r="YV429" s="6"/>
      <c r="YW429" s="6"/>
      <c r="YX429" s="6"/>
      <c r="YY429" s="6"/>
      <c r="YZ429" s="6"/>
      <c r="ZA429" s="6"/>
      <c r="ZB429" s="6"/>
      <c r="ZC429" s="6"/>
      <c r="ZD429" s="6"/>
      <c r="ZE429" s="6"/>
      <c r="ZF429" s="6"/>
      <c r="ZG429" s="6"/>
      <c r="ZH429" s="6"/>
      <c r="ZI429" s="6"/>
      <c r="ZJ429" s="6"/>
      <c r="ZK429" s="6"/>
      <c r="ZL429" s="6"/>
      <c r="ZM429" s="6"/>
      <c r="ZN429" s="6"/>
      <c r="ZO429" s="6"/>
      <c r="ZP429" s="6"/>
      <c r="ZQ429" s="6"/>
      <c r="ZR429" s="6"/>
      <c r="ZS429" s="6"/>
      <c r="ZT429" s="6"/>
      <c r="ZU429" s="6"/>
      <c r="ZV429" s="6"/>
      <c r="ZW429" s="6"/>
      <c r="ZX429" s="6"/>
      <c r="ZY429" s="6"/>
      <c r="ZZ429" s="6"/>
      <c r="AAA429" s="6"/>
      <c r="AAB429" s="6"/>
      <c r="AAC429" s="6"/>
      <c r="AAD429" s="6"/>
      <c r="AAE429" s="6"/>
      <c r="AAF429" s="6"/>
      <c r="AAG429" s="6"/>
      <c r="AAH429" s="6"/>
      <c r="AAI429" s="6"/>
      <c r="AAJ429" s="6"/>
      <c r="AAK429" s="6"/>
      <c r="AAL429" s="6"/>
      <c r="AAM429" s="6"/>
      <c r="AAN429" s="6"/>
      <c r="AAO429" s="6"/>
      <c r="AAP429" s="6"/>
      <c r="AAQ429" s="6"/>
      <c r="AAR429" s="6"/>
      <c r="AAS429" s="6"/>
      <c r="AAT429" s="6"/>
      <c r="AAU429" s="6"/>
      <c r="AAV429" s="6"/>
      <c r="AAW429" s="6"/>
      <c r="AAX429" s="6"/>
      <c r="AAY429" s="6"/>
      <c r="AAZ429" s="6"/>
      <c r="ABA429" s="6"/>
      <c r="ABB429" s="6"/>
      <c r="ABC429" s="6"/>
      <c r="ABD429" s="6"/>
      <c r="ABE429" s="6"/>
      <c r="ABF429" s="6"/>
      <c r="ABG429" s="6"/>
      <c r="ABH429" s="6"/>
      <c r="ABI429" s="6"/>
      <c r="ABJ429" s="6"/>
      <c r="ABK429" s="6"/>
      <c r="ABL429" s="6"/>
      <c r="ABM429" s="6"/>
      <c r="ABN429" s="6"/>
      <c r="ABO429" s="6"/>
      <c r="ABP429" s="6"/>
      <c r="ABQ429" s="6"/>
      <c r="ABR429" s="6"/>
      <c r="ABS429" s="6"/>
      <c r="ABT429" s="6"/>
      <c r="ABU429" s="6"/>
      <c r="ABV429" s="6"/>
      <c r="ABW429" s="6"/>
      <c r="ABX429" s="6"/>
      <c r="ABY429" s="6"/>
      <c r="ABZ429" s="6"/>
      <c r="ACA429" s="6"/>
      <c r="ACB429" s="6"/>
      <c r="ACC429" s="6"/>
      <c r="ACD429" s="6"/>
      <c r="ACE429" s="6"/>
      <c r="ACF429" s="6"/>
      <c r="ACG429" s="6"/>
      <c r="ACH429" s="6"/>
      <c r="ACI429" s="6"/>
      <c r="ACJ429" s="6"/>
      <c r="ACK429" s="6"/>
      <c r="ACL429" s="6"/>
      <c r="ACM429" s="6"/>
      <c r="ACN429" s="6"/>
      <c r="ACO429" s="6"/>
      <c r="ACP429" s="6"/>
      <c r="ACQ429" s="6"/>
      <c r="ACR429" s="6"/>
      <c r="ACS429" s="6"/>
      <c r="ACT429" s="6"/>
      <c r="ACU429" s="6"/>
      <c r="ACV429" s="6"/>
      <c r="ACW429" s="6"/>
      <c r="ACX429" s="6"/>
      <c r="ACY429" s="6"/>
      <c r="ACZ429" s="6"/>
      <c r="ADA429" s="6"/>
      <c r="ADB429" s="6"/>
      <c r="ADC429" s="6"/>
      <c r="ADD429" s="6"/>
      <c r="ADE429" s="6"/>
      <c r="ADF429" s="6"/>
      <c r="ADG429" s="6"/>
      <c r="ADH429" s="6"/>
      <c r="ADI429" s="6"/>
      <c r="ADJ429" s="6"/>
      <c r="ADK429" s="6"/>
      <c r="ADL429" s="6"/>
      <c r="ADM429" s="6"/>
      <c r="ADN429" s="6"/>
      <c r="ADO429" s="6"/>
      <c r="ADP429" s="6"/>
      <c r="ADQ429" s="6"/>
      <c r="ADR429" s="6"/>
      <c r="ADS429" s="6"/>
      <c r="ADT429" s="6"/>
      <c r="ADU429" s="6"/>
      <c r="ADV429" s="6"/>
      <c r="ADW429" s="6"/>
      <c r="ADX429" s="6"/>
      <c r="ADY429" s="6"/>
      <c r="ADZ429" s="6"/>
      <c r="AEA429" s="6"/>
      <c r="AEB429" s="6"/>
      <c r="AEC429" s="6"/>
      <c r="AED429" s="6"/>
      <c r="AEE429" s="6"/>
      <c r="AEF429" s="6"/>
      <c r="AEG429" s="6"/>
      <c r="AEH429" s="6"/>
      <c r="AEI429" s="6"/>
      <c r="AEJ429" s="6"/>
      <c r="AEK429" s="6"/>
      <c r="AEL429" s="6"/>
      <c r="AEM429" s="6"/>
      <c r="AEN429" s="6"/>
      <c r="AEO429" s="6"/>
      <c r="AEP429" s="6"/>
      <c r="AEQ429" s="6"/>
      <c r="AER429" s="6"/>
      <c r="AES429" s="6"/>
      <c r="AET429" s="6"/>
      <c r="AEU429" s="6"/>
      <c r="AEV429" s="6"/>
      <c r="AEW429" s="6"/>
      <c r="AEX429" s="6"/>
      <c r="AEY429" s="6"/>
      <c r="AEZ429" s="6"/>
      <c r="AFA429" s="6"/>
      <c r="AFB429" s="6"/>
      <c r="AFC429" s="6"/>
      <c r="AFD429" s="6"/>
      <c r="AFE429" s="6"/>
      <c r="AFF429" s="6"/>
      <c r="AFG429" s="6"/>
      <c r="AFH429" s="6"/>
      <c r="AFI429" s="6"/>
      <c r="AFJ429" s="6"/>
      <c r="AFK429" s="6"/>
      <c r="AFL429" s="6"/>
      <c r="AFM429" s="6"/>
      <c r="AFN429" s="6"/>
      <c r="AFO429" s="6"/>
      <c r="AFP429" s="6"/>
      <c r="AFQ429" s="6"/>
      <c r="AFR429" s="6"/>
      <c r="AFS429" s="6"/>
      <c r="AFT429" s="6"/>
      <c r="AFU429" s="6"/>
      <c r="AFV429" s="6"/>
      <c r="AFW429" s="6"/>
      <c r="AFX429" s="6"/>
      <c r="AFY429" s="6"/>
      <c r="AFZ429" s="6"/>
      <c r="AGA429" s="6"/>
      <c r="AGB429" s="6"/>
      <c r="AGC429" s="6"/>
      <c r="AGD429" s="6"/>
      <c r="AGE429" s="6"/>
      <c r="AGF429" s="6"/>
      <c r="AGG429" s="6"/>
      <c r="AGH429" s="6"/>
      <c r="AGI429" s="6"/>
      <c r="AGJ429" s="6"/>
      <c r="AGK429" s="6"/>
      <c r="AGL429" s="6"/>
      <c r="AGM429" s="6"/>
      <c r="AGN429" s="6"/>
      <c r="AGO429" s="6"/>
      <c r="AGP429" s="6"/>
      <c r="AGQ429" s="6"/>
      <c r="AGR429" s="6"/>
      <c r="AGS429" s="6"/>
      <c r="AGT429" s="6"/>
      <c r="AGU429" s="6"/>
      <c r="AGV429" s="6"/>
      <c r="AGW429" s="6"/>
      <c r="AGX429" s="6"/>
      <c r="AGY429" s="6"/>
      <c r="AGZ429" s="6"/>
      <c r="AHA429" s="6"/>
      <c r="AHB429" s="6"/>
      <c r="AHC429" s="6"/>
      <c r="AHD429" s="6"/>
      <c r="AHE429" s="6"/>
      <c r="AHF429" s="6"/>
      <c r="AHG429" s="6"/>
      <c r="AHH429" s="6"/>
      <c r="AHI429" s="6"/>
      <c r="AHJ429" s="6"/>
      <c r="AHK429" s="6"/>
      <c r="AHL429" s="6"/>
      <c r="AHM429" s="6"/>
      <c r="AHN429" s="6"/>
      <c r="AHO429" s="6"/>
      <c r="AHP429" s="6"/>
      <c r="AHQ429" s="6"/>
      <c r="AHR429" s="6"/>
      <c r="AHS429" s="6"/>
      <c r="AHT429" s="6"/>
      <c r="AHU429" s="6"/>
      <c r="AHV429" s="6"/>
      <c r="AHW429" s="6"/>
      <c r="AHX429" s="6"/>
      <c r="AHY429" s="6"/>
      <c r="AHZ429" s="6"/>
      <c r="AIA429" s="6"/>
      <c r="AIB429" s="6"/>
      <c r="AIC429" s="6"/>
      <c r="AID429" s="6"/>
      <c r="AIE429" s="6"/>
      <c r="AIF429" s="6"/>
      <c r="AIG429" s="6"/>
      <c r="AIH429" s="6"/>
      <c r="AII429" s="6"/>
      <c r="AIJ429" s="6"/>
      <c r="AIK429" s="6"/>
      <c r="AIL429" s="6"/>
      <c r="AIM429" s="6"/>
      <c r="AIN429" s="6"/>
      <c r="AIO429" s="6"/>
      <c r="AIP429" s="6"/>
      <c r="AIQ429" s="6"/>
      <c r="AIR429" s="6"/>
      <c r="AIS429" s="6"/>
      <c r="AIT429" s="6"/>
      <c r="AIU429" s="6"/>
      <c r="AIV429" s="6"/>
      <c r="AIW429" s="6"/>
      <c r="AIX429" s="6"/>
      <c r="AIY429" s="6"/>
      <c r="AIZ429" s="6"/>
      <c r="AJA429" s="6"/>
      <c r="AJB429" s="6"/>
      <c r="AJC429" s="6"/>
      <c r="AJD429" s="6"/>
      <c r="AJE429" s="6"/>
      <c r="AJF429" s="6"/>
      <c r="AJG429" s="6"/>
      <c r="AJH429" s="6"/>
      <c r="AJI429" s="6"/>
      <c r="AJJ429" s="6"/>
      <c r="AJK429" s="6"/>
      <c r="AJL429" s="6"/>
      <c r="AJM429" s="6"/>
      <c r="AJN429" s="6"/>
      <c r="AJO429" s="6"/>
      <c r="AJP429" s="6"/>
      <c r="AJQ429" s="6"/>
      <c r="AJR429" s="6"/>
      <c r="AJS429" s="6"/>
      <c r="AJT429" s="6"/>
      <c r="AJU429" s="6"/>
      <c r="AJV429" s="6"/>
      <c r="AJW429" s="6"/>
      <c r="AJX429" s="6"/>
      <c r="AJY429" s="6"/>
      <c r="AJZ429" s="6"/>
      <c r="AKA429" s="6"/>
      <c r="AKB429" s="6"/>
      <c r="AKC429" s="6"/>
      <c r="AKD429" s="6"/>
      <c r="AKE429" s="6"/>
      <c r="AKF429" s="6"/>
      <c r="AKG429" s="6"/>
      <c r="AKH429" s="6"/>
      <c r="AKI429" s="6"/>
      <c r="AKJ429" s="6"/>
      <c r="AKK429" s="6"/>
      <c r="AKL429" s="6"/>
      <c r="AKM429" s="6"/>
      <c r="AKN429" s="6"/>
      <c r="AKO429" s="6"/>
      <c r="AKP429" s="6"/>
      <c r="AKQ429" s="6"/>
      <c r="AKR429" s="6"/>
      <c r="AKS429" s="6"/>
      <c r="AKT429" s="6"/>
      <c r="AKU429" s="6"/>
      <c r="AKV429" s="6"/>
      <c r="AKW429" s="6"/>
      <c r="AKX429" s="6"/>
      <c r="AKY429" s="6"/>
      <c r="AKZ429" s="6"/>
      <c r="ALA429" s="6"/>
      <c r="ALB429" s="6"/>
      <c r="ALC429" s="6"/>
      <c r="ALD429" s="6"/>
      <c r="ALE429" s="6"/>
      <c r="ALF429" s="6"/>
      <c r="ALG429" s="6"/>
      <c r="ALH429" s="6"/>
      <c r="ALI429" s="6"/>
      <c r="ALJ429" s="6"/>
      <c r="ALK429" s="6"/>
      <c r="ALL429" s="6"/>
      <c r="ALM429" s="6"/>
      <c r="ALN429" s="6"/>
      <c r="ALO429" s="6"/>
      <c r="ALP429" s="6"/>
      <c r="ALQ429" s="6"/>
      <c r="ALR429" s="6"/>
      <c r="ALS429" s="6"/>
      <c r="ALT429" s="6"/>
      <c r="ALU429" s="6"/>
      <c r="ALV429" s="6"/>
      <c r="ALW429" s="6"/>
      <c r="ALX429" s="6"/>
      <c r="ALY429" s="6"/>
      <c r="ALZ429" s="6"/>
      <c r="AMA429" s="6"/>
      <c r="AMB429" s="6"/>
      <c r="AMC429" s="6"/>
      <c r="AMD429" s="6"/>
      <c r="AME429" s="6"/>
      <c r="AMF429" s="6"/>
      <c r="AMG429" s="6"/>
      <c r="AMH429" s="6"/>
      <c r="AMI429" s="6"/>
      <c r="AMJ429" s="6"/>
      <c r="AMK429" s="6"/>
      <c r="AML429" s="6"/>
      <c r="AMM429" s="6"/>
      <c r="AMN429" s="6"/>
      <c r="AMO429" s="6"/>
      <c r="AMP429" s="6"/>
    </row>
    <row r="430" spans="1:1030" x14ac:dyDescent="0.2">
      <c r="A430" s="3" t="str">
        <f t="shared" ref="A430" si="4024">CONCATENATE(B430,"_",C430)</f>
        <v>calrl_human_6UUN</v>
      </c>
      <c r="B430" s="2" t="s">
        <v>401</v>
      </c>
      <c r="C430" s="3" t="s">
        <v>1668</v>
      </c>
      <c r="D430" s="3" t="str">
        <f>IFERROR(MID(VLOOKUP($B430,Seqs!$A:$B,2,0),E430,1),"")</f>
        <v>T</v>
      </c>
      <c r="E430" s="3">
        <v>131</v>
      </c>
      <c r="F430" s="3" t="str">
        <f>IFERROR(MID(VLOOKUP($B430,Seqs!$A:$B,2,0),G430,1),"")</f>
        <v>F</v>
      </c>
      <c r="G430" s="3">
        <v>166</v>
      </c>
      <c r="H430" s="3" t="str">
        <f>IFERROR(MID(VLOOKUP($B430,Seqs!$A:$B,2,0),I430,1),"")</f>
        <v/>
      </c>
      <c r="I430" s="23" t="s">
        <v>23</v>
      </c>
      <c r="J430" s="3" t="str">
        <f>IFERROR(MID(VLOOKUP($B430,Seqs!$A:$B,2,0),K430,1),"")</f>
        <v/>
      </c>
      <c r="K430" s="23" t="s">
        <v>23</v>
      </c>
      <c r="L430" s="3" t="str">
        <f>IFERROR(MID(VLOOKUP($B430,Seqs!$A:$B,2,0),M430,1),"")</f>
        <v>C</v>
      </c>
      <c r="M430" s="3">
        <v>171</v>
      </c>
      <c r="N430" s="3" t="str">
        <f>IFERROR(MID(VLOOKUP($B430,Seqs!$A:$B,2,0),O430,1),"")</f>
        <v>A</v>
      </c>
      <c r="O430" s="3">
        <v>199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P</v>
      </c>
      <c r="U430" s="3">
        <v>209</v>
      </c>
      <c r="V430" s="3" t="str">
        <f>IFERROR(MID(VLOOKUP($B430,Seqs!$A:$B,2,0),W430,1),"")</f>
        <v>V</v>
      </c>
      <c r="W430" s="3">
        <v>242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M</v>
      </c>
      <c r="AC430" s="3">
        <v>253</v>
      </c>
      <c r="AD430" s="3" t="str">
        <f>IFERROR(MID(VLOOKUP($B430,Seqs!$A:$B,2,0),AE430,1),"")</f>
        <v>Y</v>
      </c>
      <c r="AE430" s="3">
        <v>278</v>
      </c>
      <c r="AF430" s="3" t="str">
        <f>IFERROR(MID(VLOOKUP($B430,Seqs!$A:$B,2,0),AG430,1),"")</f>
        <v>C</v>
      </c>
      <c r="AG430" s="3">
        <v>282</v>
      </c>
      <c r="AH430" s="3" t="str">
        <f>IFERROR(MID(VLOOKUP($B430,Seqs!$A:$B,2,0),AI430,1),"")</f>
        <v>I</v>
      </c>
      <c r="AI430" s="3">
        <v>284</v>
      </c>
      <c r="AJ430" s="3" t="str">
        <f>IFERROR(MID(VLOOKUP($B430,Seqs!$A:$B,2,0),AK430,1),"")</f>
        <v>L</v>
      </c>
      <c r="AK430" s="3">
        <v>290</v>
      </c>
      <c r="AL430" s="3" t="str">
        <f>IFERROR(MID(VLOOKUP($B430,Seqs!$A:$B,2,0),AM430,1),"")</f>
        <v>K</v>
      </c>
      <c r="AM430" s="3">
        <v>321</v>
      </c>
      <c r="AN430" s="3" t="str">
        <f>IFERROR(MID(VLOOKUP($B430,Seqs!$A:$B,2,0),AO430,1),"")</f>
        <v>K</v>
      </c>
      <c r="AO430" s="3">
        <v>333</v>
      </c>
      <c r="AP430" s="3" t="str">
        <f>IFERROR(MID(VLOOKUP($B430,Seqs!$A:$B,2,0),AQ430,1),"")</f>
        <v>L</v>
      </c>
      <c r="AQ430" s="3">
        <v>351</v>
      </c>
      <c r="AR430" s="3" t="str">
        <f>IFERROR(MID(VLOOKUP($B430,Seqs!$A:$B,2,0),AS430,1),"")</f>
        <v>E</v>
      </c>
      <c r="AS430" s="3">
        <v>363</v>
      </c>
      <c r="AT430" s="3" t="str">
        <f>IFERROR(MID(VLOOKUP($B430,Seqs!$A:$B,2,0),AU430,1),"")</f>
        <v>F</v>
      </c>
      <c r="AU430" s="3">
        <v>387</v>
      </c>
      <c r="AV430" s="3" t="str">
        <f>IFERROR(MID(VLOOKUP($B430,Seqs!$A:$B,2,0),AW430,1),"")</f>
        <v>N</v>
      </c>
      <c r="AW430" s="3">
        <v>388</v>
      </c>
      <c r="AX430" s="3" t="str">
        <f>IFERROR(MID(VLOOKUP($B430,Seqs!$A:$B,2,0),AY430,1),"")</f>
        <v>W</v>
      </c>
      <c r="AY430" s="3">
        <v>399</v>
      </c>
      <c r="AZ430" s="77" t="str">
        <f>VLOOKUP(B430,Classification!A:D,2,0)</f>
        <v>B1</v>
      </c>
      <c r="BA430" s="94" t="str">
        <f>VLOOKUP(B430,Classification!A:D,4,0)</f>
        <v>Calcitonin</v>
      </c>
      <c r="BB430" s="27" t="b">
        <f t="shared" ref="BB430" si="4025">AND(E430&lt;G430,OR(G430&lt;I430,I430="-"),OR(I430&lt;K430,I430="-"),OR(K430&lt;M430,K430="-"),M430&lt;O430,OR(O430&lt;Q430,Q430="-"),OR(Q430&lt;S430,Q430="-"),OR(S430&lt;U430,S430="-"),U430&lt;W430,OR(W430&lt;Y430,Y430="-"),OR(Y430&lt;AA430,Y430="-"),OR(AA430&lt;AC430,AA430="-"),AC430&lt;AE430,OR(AE430&lt;AG430,AG430="-"),OR(AG430&lt;AI430,AG430="-"),OR(AI430&lt;AK430,AI430="-"),AK430&lt;AM430,AM430&lt;AO430,AO430&lt;AQ430,AQ430&lt;AS430,AS430&lt;AU430,OR(AU430&lt;AW430,AW430="-"),OR(AW430&lt;AY430,AW430="-"))</f>
        <v>1</v>
      </c>
      <c r="BC430" s="23">
        <f t="shared" ref="BC430" si="4026">_xlfn.AGGREGATE(9,6,CH430:CS430)-_xlfn.AGGREGATE(9,6,BV430:CG430)+12</f>
        <v>219</v>
      </c>
      <c r="BD430" s="4" t="s">
        <v>23</v>
      </c>
      <c r="BE430" s="3" t="s">
        <v>1287</v>
      </c>
      <c r="BF430" s="118">
        <v>3</v>
      </c>
      <c r="BG430" s="49" t="s">
        <v>1418</v>
      </c>
      <c r="BH430" s="49" t="s">
        <v>1418</v>
      </c>
      <c r="BI430" s="1"/>
      <c r="BJ430" s="70" t="s">
        <v>1283</v>
      </c>
      <c r="BK430" s="57" t="s">
        <v>1283</v>
      </c>
      <c r="BL430" s="57" t="s">
        <v>1283</v>
      </c>
      <c r="BM430" s="57" t="s">
        <v>1283</v>
      </c>
      <c r="BN430" s="57" t="s">
        <v>1283</v>
      </c>
      <c r="BO430" s="57" t="s">
        <v>1283</v>
      </c>
      <c r="BP430" s="57" t="s">
        <v>1283</v>
      </c>
      <c r="BQ430" s="57" t="s">
        <v>1283</v>
      </c>
      <c r="BR430" s="57" t="s">
        <v>1283</v>
      </c>
      <c r="BS430" s="57" t="s">
        <v>1283</v>
      </c>
      <c r="BT430" s="57" t="s">
        <v>1283</v>
      </c>
      <c r="BU430" s="57" t="s">
        <v>1283</v>
      </c>
      <c r="BV430" s="70">
        <f t="shared" ref="BV430" si="4027">E430</f>
        <v>131</v>
      </c>
      <c r="BW430" s="71" t="str">
        <f t="shared" ref="BW430" si="4028">I430</f>
        <v>-</v>
      </c>
      <c r="BX430" s="72">
        <f t="shared" ref="BX430" si="4029">M430</f>
        <v>171</v>
      </c>
      <c r="BY430" s="71" t="str">
        <f t="shared" ref="BY430" si="4030">Q430</f>
        <v>-</v>
      </c>
      <c r="BZ430" s="72">
        <f t="shared" ref="BZ430" si="4031">U430</f>
        <v>209</v>
      </c>
      <c r="CA430" s="71" t="str">
        <f t="shared" ref="CA430" si="4032">Y430</f>
        <v>-</v>
      </c>
      <c r="CB430" s="72">
        <f t="shared" ref="CB430" si="4033">AC430</f>
        <v>253</v>
      </c>
      <c r="CC430" s="71">
        <f t="shared" ref="CC430" si="4034">AG430</f>
        <v>282</v>
      </c>
      <c r="CD430" s="72">
        <f t="shared" ref="CD430" si="4035">AK430</f>
        <v>290</v>
      </c>
      <c r="CE430" s="71">
        <f t="shared" ref="CE430" si="4036">AO430</f>
        <v>333</v>
      </c>
      <c r="CF430" s="72">
        <f t="shared" ref="CF430" si="4037">AS430</f>
        <v>363</v>
      </c>
      <c r="CG430" s="71">
        <f t="shared" ref="CG430" si="4038">AW430</f>
        <v>388</v>
      </c>
      <c r="CH430" s="70">
        <f t="shared" ref="CH430" si="4039">G430</f>
        <v>166</v>
      </c>
      <c r="CI430" s="71" t="str">
        <f t="shared" ref="CI430" si="4040">K430</f>
        <v>-</v>
      </c>
      <c r="CJ430" s="72">
        <f t="shared" ref="CJ430" si="4041">O430</f>
        <v>199</v>
      </c>
      <c r="CK430" s="72" t="str">
        <f t="shared" ref="CK430" si="4042">S430</f>
        <v>-</v>
      </c>
      <c r="CL430" s="72">
        <f t="shared" ref="CL430" si="4043">W430</f>
        <v>242</v>
      </c>
      <c r="CM430" s="72" t="str">
        <f t="shared" ref="CM430" si="4044">AA430</f>
        <v>-</v>
      </c>
      <c r="CN430" s="72">
        <f t="shared" ref="CN430" si="4045">AE430</f>
        <v>278</v>
      </c>
      <c r="CO430" s="72">
        <f t="shared" ref="CO430" si="4046">AI430</f>
        <v>284</v>
      </c>
      <c r="CP430" s="72">
        <f t="shared" ref="CP430" si="4047">AM430</f>
        <v>321</v>
      </c>
      <c r="CQ430" s="72">
        <f t="shared" ref="CQ430" si="4048">AQ430</f>
        <v>351</v>
      </c>
      <c r="CR430" s="72">
        <f t="shared" ref="CR430" si="4049">AU430</f>
        <v>387</v>
      </c>
      <c r="CS430" s="72">
        <f t="shared" ref="CS430" si="4050">AY430</f>
        <v>399</v>
      </c>
      <c r="CT430" s="23" t="e">
        <f t="shared" ref="CT430" si="4051">M430-K430</f>
        <v>#VALUE!</v>
      </c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6"/>
      <c r="PL430" s="6"/>
      <c r="PM430" s="6"/>
      <c r="PN430" s="6"/>
      <c r="PO430" s="6"/>
      <c r="PP430" s="6"/>
      <c r="PQ430" s="6"/>
      <c r="PR430" s="6"/>
      <c r="PS430" s="6"/>
      <c r="PT430" s="6"/>
      <c r="PU430" s="6"/>
      <c r="PV430" s="6"/>
      <c r="PW430" s="6"/>
      <c r="PX430" s="6"/>
      <c r="PY430" s="6"/>
      <c r="PZ430" s="6"/>
      <c r="QA430" s="6"/>
      <c r="QB430" s="6"/>
      <c r="QC430" s="6"/>
      <c r="QD430" s="6"/>
      <c r="QE430" s="6"/>
      <c r="QF430" s="6"/>
      <c r="QG430" s="6"/>
      <c r="QH430" s="6"/>
      <c r="QI430" s="6"/>
      <c r="QJ430" s="6"/>
      <c r="QK430" s="6"/>
      <c r="QL430" s="6"/>
      <c r="QM430" s="6"/>
      <c r="QN430" s="6"/>
      <c r="QO430" s="6"/>
      <c r="QP430" s="6"/>
      <c r="QQ430" s="6"/>
      <c r="QR430" s="6"/>
      <c r="QS430" s="6"/>
      <c r="QT430" s="6"/>
      <c r="QU430" s="6"/>
      <c r="QV430" s="6"/>
      <c r="QW430" s="6"/>
      <c r="QX430" s="6"/>
      <c r="QY430" s="6"/>
      <c r="QZ430" s="6"/>
      <c r="RA430" s="6"/>
      <c r="RB430" s="6"/>
      <c r="RC430" s="6"/>
      <c r="RD430" s="6"/>
      <c r="RE430" s="6"/>
      <c r="RF430" s="6"/>
      <c r="RG430" s="6"/>
      <c r="RH430" s="6"/>
      <c r="RI430" s="6"/>
      <c r="RJ430" s="6"/>
      <c r="RK430" s="6"/>
      <c r="RL430" s="6"/>
      <c r="RM430" s="6"/>
      <c r="RN430" s="6"/>
      <c r="RO430" s="6"/>
      <c r="RP430" s="6"/>
      <c r="RQ430" s="6"/>
      <c r="RR430" s="6"/>
      <c r="RS430" s="6"/>
      <c r="RT430" s="6"/>
      <c r="RU430" s="6"/>
      <c r="RV430" s="6"/>
      <c r="RW430" s="6"/>
      <c r="RX430" s="6"/>
      <c r="RY430" s="6"/>
      <c r="RZ430" s="6"/>
      <c r="SA430" s="6"/>
      <c r="SB430" s="6"/>
      <c r="SC430" s="6"/>
      <c r="SD430" s="6"/>
      <c r="SE430" s="6"/>
      <c r="SF430" s="6"/>
      <c r="SG430" s="6"/>
      <c r="SH430" s="6"/>
      <c r="SI430" s="6"/>
      <c r="SJ430" s="6"/>
      <c r="SK430" s="6"/>
      <c r="SL430" s="6"/>
      <c r="SM430" s="6"/>
      <c r="SN430" s="6"/>
      <c r="SO430" s="6"/>
      <c r="SP430" s="6"/>
      <c r="SQ430" s="6"/>
      <c r="SR430" s="6"/>
      <c r="SS430" s="6"/>
      <c r="ST430" s="6"/>
      <c r="SU430" s="6"/>
      <c r="SV430" s="6"/>
      <c r="SW430" s="6"/>
      <c r="SX430" s="6"/>
      <c r="SY430" s="6"/>
      <c r="SZ430" s="6"/>
      <c r="TA430" s="6"/>
      <c r="TB430" s="6"/>
      <c r="TC430" s="6"/>
      <c r="TD430" s="6"/>
      <c r="TE430" s="6"/>
      <c r="TF430" s="6"/>
      <c r="TG430" s="6"/>
      <c r="TH430" s="6"/>
      <c r="TI430" s="6"/>
      <c r="TJ430" s="6"/>
      <c r="TK430" s="6"/>
      <c r="TL430" s="6"/>
      <c r="TM430" s="6"/>
      <c r="TN430" s="6"/>
      <c r="TO430" s="6"/>
      <c r="TP430" s="6"/>
      <c r="TQ430" s="6"/>
      <c r="TR430" s="6"/>
      <c r="TS430" s="6"/>
      <c r="TT430" s="6"/>
      <c r="TU430" s="6"/>
      <c r="TV430" s="6"/>
      <c r="TW430" s="6"/>
      <c r="TX430" s="6"/>
      <c r="TY430" s="6"/>
      <c r="TZ430" s="6"/>
      <c r="UA430" s="6"/>
      <c r="UB430" s="6"/>
      <c r="UC430" s="6"/>
      <c r="UD430" s="6"/>
      <c r="UE430" s="6"/>
      <c r="UF430" s="6"/>
      <c r="UG430" s="6"/>
      <c r="UH430" s="6"/>
      <c r="UI430" s="6"/>
      <c r="UJ430" s="6"/>
      <c r="UK430" s="6"/>
      <c r="UL430" s="6"/>
      <c r="UM430" s="6"/>
      <c r="UN430" s="6"/>
      <c r="UO430" s="6"/>
      <c r="UP430" s="6"/>
      <c r="UQ430" s="6"/>
      <c r="UR430" s="6"/>
      <c r="US430" s="6"/>
      <c r="UT430" s="6"/>
      <c r="UU430" s="6"/>
      <c r="UV430" s="6"/>
      <c r="UW430" s="6"/>
      <c r="UX430" s="6"/>
      <c r="UY430" s="6"/>
      <c r="UZ430" s="6"/>
      <c r="VA430" s="6"/>
      <c r="VB430" s="6"/>
      <c r="VC430" s="6"/>
      <c r="VD430" s="6"/>
      <c r="VE430" s="6"/>
      <c r="VF430" s="6"/>
      <c r="VG430" s="6"/>
      <c r="VH430" s="6"/>
      <c r="VI430" s="6"/>
      <c r="VJ430" s="6"/>
      <c r="VK430" s="6"/>
      <c r="VL430" s="6"/>
      <c r="VM430" s="6"/>
      <c r="VN430" s="6"/>
      <c r="VO430" s="6"/>
      <c r="VP430" s="6"/>
      <c r="VQ430" s="6"/>
      <c r="VR430" s="6"/>
      <c r="VS430" s="6"/>
      <c r="VT430" s="6"/>
      <c r="VU430" s="6"/>
      <c r="VV430" s="6"/>
      <c r="VW430" s="6"/>
      <c r="VX430" s="6"/>
      <c r="VY430" s="6"/>
      <c r="VZ430" s="6"/>
      <c r="WA430" s="6"/>
      <c r="WB430" s="6"/>
      <c r="WC430" s="6"/>
      <c r="WD430" s="6"/>
      <c r="WE430" s="6"/>
      <c r="WF430" s="6"/>
      <c r="WG430" s="6"/>
      <c r="WH430" s="6"/>
      <c r="WI430" s="6"/>
      <c r="WJ430" s="6"/>
      <c r="WK430" s="6"/>
      <c r="WL430" s="6"/>
      <c r="WM430" s="6"/>
      <c r="WN430" s="6"/>
      <c r="WO430" s="6"/>
      <c r="WP430" s="6"/>
      <c r="WQ430" s="6"/>
      <c r="WR430" s="6"/>
      <c r="WS430" s="6"/>
      <c r="WT430" s="6"/>
      <c r="WU430" s="6"/>
      <c r="WV430" s="6"/>
      <c r="WW430" s="6"/>
      <c r="WX430" s="6"/>
      <c r="WY430" s="6"/>
      <c r="WZ430" s="6"/>
      <c r="XA430" s="6"/>
      <c r="XB430" s="6"/>
      <c r="XC430" s="6"/>
      <c r="XD430" s="6"/>
      <c r="XE430" s="6"/>
      <c r="XF430" s="6"/>
      <c r="XG430" s="6"/>
      <c r="XH430" s="6"/>
      <c r="XI430" s="6"/>
      <c r="XJ430" s="6"/>
      <c r="XK430" s="6"/>
      <c r="XL430" s="6"/>
      <c r="XM430" s="6"/>
      <c r="XN430" s="6"/>
      <c r="XO430" s="6"/>
      <c r="XP430" s="6"/>
      <c r="XQ430" s="6"/>
      <c r="XR430" s="6"/>
      <c r="XS430" s="6"/>
      <c r="XT430" s="6"/>
      <c r="XU430" s="6"/>
      <c r="XV430" s="6"/>
      <c r="XW430" s="6"/>
      <c r="XX430" s="6"/>
      <c r="XY430" s="6"/>
      <c r="XZ430" s="6"/>
      <c r="YA430" s="6"/>
      <c r="YB430" s="6"/>
      <c r="YC430" s="6"/>
      <c r="YD430" s="6"/>
      <c r="YE430" s="6"/>
      <c r="YF430" s="6"/>
      <c r="YG430" s="6"/>
      <c r="YH430" s="6"/>
      <c r="YI430" s="6"/>
      <c r="YJ430" s="6"/>
      <c r="YK430" s="6"/>
      <c r="YL430" s="6"/>
      <c r="YM430" s="6"/>
      <c r="YN430" s="6"/>
      <c r="YO430" s="6"/>
      <c r="YP430" s="6"/>
      <c r="YQ430" s="6"/>
      <c r="YR430" s="6"/>
      <c r="YS430" s="6"/>
      <c r="YT430" s="6"/>
      <c r="YU430" s="6"/>
      <c r="YV430" s="6"/>
      <c r="YW430" s="6"/>
      <c r="YX430" s="6"/>
      <c r="YY430" s="6"/>
      <c r="YZ430" s="6"/>
      <c r="ZA430" s="6"/>
      <c r="ZB430" s="6"/>
      <c r="ZC430" s="6"/>
      <c r="ZD430" s="6"/>
      <c r="ZE430" s="6"/>
      <c r="ZF430" s="6"/>
      <c r="ZG430" s="6"/>
      <c r="ZH430" s="6"/>
      <c r="ZI430" s="6"/>
      <c r="ZJ430" s="6"/>
      <c r="ZK430" s="6"/>
      <c r="ZL430" s="6"/>
      <c r="ZM430" s="6"/>
      <c r="ZN430" s="6"/>
      <c r="ZO430" s="6"/>
      <c r="ZP430" s="6"/>
      <c r="ZQ430" s="6"/>
      <c r="ZR430" s="6"/>
      <c r="ZS430" s="6"/>
      <c r="ZT430" s="6"/>
      <c r="ZU430" s="6"/>
      <c r="ZV430" s="6"/>
      <c r="ZW430" s="6"/>
      <c r="ZX430" s="6"/>
      <c r="ZY430" s="6"/>
      <c r="ZZ430" s="6"/>
      <c r="AAA430" s="6"/>
      <c r="AAB430" s="6"/>
      <c r="AAC430" s="6"/>
      <c r="AAD430" s="6"/>
      <c r="AAE430" s="6"/>
      <c r="AAF430" s="6"/>
      <c r="AAG430" s="6"/>
      <c r="AAH430" s="6"/>
      <c r="AAI430" s="6"/>
      <c r="AAJ430" s="6"/>
      <c r="AAK430" s="6"/>
      <c r="AAL430" s="6"/>
      <c r="AAM430" s="6"/>
      <c r="AAN430" s="6"/>
      <c r="AAO430" s="6"/>
      <c r="AAP430" s="6"/>
      <c r="AAQ430" s="6"/>
      <c r="AAR430" s="6"/>
      <c r="AAS430" s="6"/>
      <c r="AAT430" s="6"/>
      <c r="AAU430" s="6"/>
      <c r="AAV430" s="6"/>
      <c r="AAW430" s="6"/>
      <c r="AAX430" s="6"/>
      <c r="AAY430" s="6"/>
      <c r="AAZ430" s="6"/>
      <c r="ABA430" s="6"/>
      <c r="ABB430" s="6"/>
      <c r="ABC430" s="6"/>
      <c r="ABD430" s="6"/>
      <c r="ABE430" s="6"/>
      <c r="ABF430" s="6"/>
      <c r="ABG430" s="6"/>
      <c r="ABH430" s="6"/>
      <c r="ABI430" s="6"/>
      <c r="ABJ430" s="6"/>
      <c r="ABK430" s="6"/>
      <c r="ABL430" s="6"/>
      <c r="ABM430" s="6"/>
      <c r="ABN430" s="6"/>
      <c r="ABO430" s="6"/>
      <c r="ABP430" s="6"/>
      <c r="ABQ430" s="6"/>
      <c r="ABR430" s="6"/>
      <c r="ABS430" s="6"/>
      <c r="ABT430" s="6"/>
      <c r="ABU430" s="6"/>
      <c r="ABV430" s="6"/>
      <c r="ABW430" s="6"/>
      <c r="ABX430" s="6"/>
      <c r="ABY430" s="6"/>
      <c r="ABZ430" s="6"/>
      <c r="ACA430" s="6"/>
      <c r="ACB430" s="6"/>
      <c r="ACC430" s="6"/>
      <c r="ACD430" s="6"/>
      <c r="ACE430" s="6"/>
      <c r="ACF430" s="6"/>
      <c r="ACG430" s="6"/>
      <c r="ACH430" s="6"/>
      <c r="ACI430" s="6"/>
      <c r="ACJ430" s="6"/>
      <c r="ACK430" s="6"/>
      <c r="ACL430" s="6"/>
      <c r="ACM430" s="6"/>
      <c r="ACN430" s="6"/>
      <c r="ACO430" s="6"/>
      <c r="ACP430" s="6"/>
      <c r="ACQ430" s="6"/>
      <c r="ACR430" s="6"/>
      <c r="ACS430" s="6"/>
      <c r="ACT430" s="6"/>
      <c r="ACU430" s="6"/>
      <c r="ACV430" s="6"/>
      <c r="ACW430" s="6"/>
      <c r="ACX430" s="6"/>
      <c r="ACY430" s="6"/>
      <c r="ACZ430" s="6"/>
      <c r="ADA430" s="6"/>
      <c r="ADB430" s="6"/>
      <c r="ADC430" s="6"/>
      <c r="ADD430" s="6"/>
      <c r="ADE430" s="6"/>
      <c r="ADF430" s="6"/>
      <c r="ADG430" s="6"/>
      <c r="ADH430" s="6"/>
      <c r="ADI430" s="6"/>
      <c r="ADJ430" s="6"/>
      <c r="ADK430" s="6"/>
      <c r="ADL430" s="6"/>
      <c r="ADM430" s="6"/>
      <c r="ADN430" s="6"/>
      <c r="ADO430" s="6"/>
      <c r="ADP430" s="6"/>
      <c r="ADQ430" s="6"/>
      <c r="ADR430" s="6"/>
      <c r="ADS430" s="6"/>
      <c r="ADT430" s="6"/>
      <c r="ADU430" s="6"/>
      <c r="ADV430" s="6"/>
      <c r="ADW430" s="6"/>
      <c r="ADX430" s="6"/>
      <c r="ADY430" s="6"/>
      <c r="ADZ430" s="6"/>
      <c r="AEA430" s="6"/>
      <c r="AEB430" s="6"/>
      <c r="AEC430" s="6"/>
      <c r="AED430" s="6"/>
      <c r="AEE430" s="6"/>
      <c r="AEF430" s="6"/>
      <c r="AEG430" s="6"/>
      <c r="AEH430" s="6"/>
      <c r="AEI430" s="6"/>
      <c r="AEJ430" s="6"/>
      <c r="AEK430" s="6"/>
      <c r="AEL430" s="6"/>
      <c r="AEM430" s="6"/>
      <c r="AEN430" s="6"/>
      <c r="AEO430" s="6"/>
      <c r="AEP430" s="6"/>
      <c r="AEQ430" s="6"/>
      <c r="AER430" s="6"/>
      <c r="AES430" s="6"/>
      <c r="AET430" s="6"/>
      <c r="AEU430" s="6"/>
      <c r="AEV430" s="6"/>
      <c r="AEW430" s="6"/>
      <c r="AEX430" s="6"/>
      <c r="AEY430" s="6"/>
      <c r="AEZ430" s="6"/>
      <c r="AFA430" s="6"/>
      <c r="AFB430" s="6"/>
      <c r="AFC430" s="6"/>
      <c r="AFD430" s="6"/>
      <c r="AFE430" s="6"/>
      <c r="AFF430" s="6"/>
      <c r="AFG430" s="6"/>
      <c r="AFH430" s="6"/>
      <c r="AFI430" s="6"/>
      <c r="AFJ430" s="6"/>
      <c r="AFK430" s="6"/>
      <c r="AFL430" s="6"/>
      <c r="AFM430" s="6"/>
      <c r="AFN430" s="6"/>
      <c r="AFO430" s="6"/>
      <c r="AFP430" s="6"/>
      <c r="AFQ430" s="6"/>
      <c r="AFR430" s="6"/>
      <c r="AFS430" s="6"/>
      <c r="AFT430" s="6"/>
      <c r="AFU430" s="6"/>
      <c r="AFV430" s="6"/>
      <c r="AFW430" s="6"/>
      <c r="AFX430" s="6"/>
      <c r="AFY430" s="6"/>
      <c r="AFZ430" s="6"/>
      <c r="AGA430" s="6"/>
      <c r="AGB430" s="6"/>
      <c r="AGC430" s="6"/>
      <c r="AGD430" s="6"/>
      <c r="AGE430" s="6"/>
      <c r="AGF430" s="6"/>
      <c r="AGG430" s="6"/>
      <c r="AGH430" s="6"/>
      <c r="AGI430" s="6"/>
      <c r="AGJ430" s="6"/>
      <c r="AGK430" s="6"/>
      <c r="AGL430" s="6"/>
      <c r="AGM430" s="6"/>
      <c r="AGN430" s="6"/>
      <c r="AGO430" s="6"/>
      <c r="AGP430" s="6"/>
      <c r="AGQ430" s="6"/>
      <c r="AGR430" s="6"/>
      <c r="AGS430" s="6"/>
      <c r="AGT430" s="6"/>
      <c r="AGU430" s="6"/>
      <c r="AGV430" s="6"/>
      <c r="AGW430" s="6"/>
      <c r="AGX430" s="6"/>
      <c r="AGY430" s="6"/>
      <c r="AGZ430" s="6"/>
      <c r="AHA430" s="6"/>
      <c r="AHB430" s="6"/>
      <c r="AHC430" s="6"/>
      <c r="AHD430" s="6"/>
      <c r="AHE430" s="6"/>
      <c r="AHF430" s="6"/>
      <c r="AHG430" s="6"/>
      <c r="AHH430" s="6"/>
      <c r="AHI430" s="6"/>
      <c r="AHJ430" s="6"/>
      <c r="AHK430" s="6"/>
      <c r="AHL430" s="6"/>
      <c r="AHM430" s="6"/>
      <c r="AHN430" s="6"/>
      <c r="AHO430" s="6"/>
      <c r="AHP430" s="6"/>
      <c r="AHQ430" s="6"/>
      <c r="AHR430" s="6"/>
      <c r="AHS430" s="6"/>
      <c r="AHT430" s="6"/>
      <c r="AHU430" s="6"/>
      <c r="AHV430" s="6"/>
      <c r="AHW430" s="6"/>
      <c r="AHX430" s="6"/>
      <c r="AHY430" s="6"/>
      <c r="AHZ430" s="6"/>
      <c r="AIA430" s="6"/>
      <c r="AIB430" s="6"/>
      <c r="AIC430" s="6"/>
      <c r="AID430" s="6"/>
      <c r="AIE430" s="6"/>
      <c r="AIF430" s="6"/>
      <c r="AIG430" s="6"/>
      <c r="AIH430" s="6"/>
      <c r="AII430" s="6"/>
      <c r="AIJ430" s="6"/>
      <c r="AIK430" s="6"/>
      <c r="AIL430" s="6"/>
      <c r="AIM430" s="6"/>
      <c r="AIN430" s="6"/>
      <c r="AIO430" s="6"/>
      <c r="AIP430" s="6"/>
      <c r="AIQ430" s="6"/>
      <c r="AIR430" s="6"/>
      <c r="AIS430" s="6"/>
      <c r="AIT430" s="6"/>
      <c r="AIU430" s="6"/>
      <c r="AIV430" s="6"/>
      <c r="AIW430" s="6"/>
      <c r="AIX430" s="6"/>
      <c r="AIY430" s="6"/>
      <c r="AIZ430" s="6"/>
      <c r="AJA430" s="6"/>
      <c r="AJB430" s="6"/>
      <c r="AJC430" s="6"/>
      <c r="AJD430" s="6"/>
      <c r="AJE430" s="6"/>
      <c r="AJF430" s="6"/>
      <c r="AJG430" s="6"/>
      <c r="AJH430" s="6"/>
      <c r="AJI430" s="6"/>
      <c r="AJJ430" s="6"/>
      <c r="AJK430" s="6"/>
      <c r="AJL430" s="6"/>
      <c r="AJM430" s="6"/>
      <c r="AJN430" s="6"/>
      <c r="AJO430" s="6"/>
      <c r="AJP430" s="6"/>
      <c r="AJQ430" s="6"/>
      <c r="AJR430" s="6"/>
      <c r="AJS430" s="6"/>
      <c r="AJT430" s="6"/>
      <c r="AJU430" s="6"/>
      <c r="AJV430" s="6"/>
      <c r="AJW430" s="6"/>
      <c r="AJX430" s="6"/>
      <c r="AJY430" s="6"/>
      <c r="AJZ430" s="6"/>
      <c r="AKA430" s="6"/>
      <c r="AKB430" s="6"/>
      <c r="AKC430" s="6"/>
      <c r="AKD430" s="6"/>
      <c r="AKE430" s="6"/>
      <c r="AKF430" s="6"/>
      <c r="AKG430" s="6"/>
      <c r="AKH430" s="6"/>
      <c r="AKI430" s="6"/>
      <c r="AKJ430" s="6"/>
      <c r="AKK430" s="6"/>
      <c r="AKL430" s="6"/>
      <c r="AKM430" s="6"/>
      <c r="AKN430" s="6"/>
      <c r="AKO430" s="6"/>
      <c r="AKP430" s="6"/>
      <c r="AKQ430" s="6"/>
      <c r="AKR430" s="6"/>
      <c r="AKS430" s="6"/>
      <c r="AKT430" s="6"/>
      <c r="AKU430" s="6"/>
      <c r="AKV430" s="6"/>
      <c r="AKW430" s="6"/>
      <c r="AKX430" s="6"/>
      <c r="AKY430" s="6"/>
      <c r="AKZ430" s="6"/>
      <c r="ALA430" s="6"/>
      <c r="ALB430" s="6"/>
      <c r="ALC430" s="6"/>
      <c r="ALD430" s="6"/>
      <c r="ALE430" s="6"/>
      <c r="ALF430" s="6"/>
      <c r="ALG430" s="6"/>
      <c r="ALH430" s="6"/>
      <c r="ALI430" s="6"/>
      <c r="ALJ430" s="6"/>
      <c r="ALK430" s="6"/>
      <c r="ALL430" s="6"/>
      <c r="ALM430" s="6"/>
      <c r="ALN430" s="6"/>
      <c r="ALO430" s="6"/>
      <c r="ALP430" s="6"/>
      <c r="ALQ430" s="6"/>
      <c r="ALR430" s="6"/>
      <c r="ALS430" s="6"/>
      <c r="ALT430" s="6"/>
      <c r="ALU430" s="6"/>
      <c r="ALV430" s="6"/>
      <c r="ALW430" s="6"/>
      <c r="ALX430" s="6"/>
      <c r="ALY430" s="6"/>
      <c r="ALZ430" s="6"/>
      <c r="AMA430" s="6"/>
      <c r="AMB430" s="6"/>
      <c r="AMC430" s="6"/>
      <c r="AMD430" s="6"/>
      <c r="AME430" s="6"/>
      <c r="AMF430" s="6"/>
      <c r="AMG430" s="6"/>
      <c r="AMH430" s="6"/>
      <c r="AMI430" s="6"/>
      <c r="AMJ430" s="6"/>
      <c r="AMK430" s="6"/>
      <c r="AML430" s="6"/>
      <c r="AMM430" s="6"/>
      <c r="AMN430" s="6"/>
      <c r="AMO430" s="6"/>
      <c r="AMP430" s="6"/>
    </row>
    <row r="431" spans="1:1030" x14ac:dyDescent="0.2">
      <c r="A431" s="3" t="str">
        <f t="shared" ref="A431" si="4052">CONCATENATE(B431,"_",C431)</f>
        <v>calrl_human_6UUS</v>
      </c>
      <c r="B431" s="2" t="s">
        <v>401</v>
      </c>
      <c r="C431" s="3" t="s">
        <v>1669</v>
      </c>
      <c r="D431" s="3" t="str">
        <f>IFERROR(MID(VLOOKUP($B431,Seqs!$A:$B,2,0),E431,1),"")</f>
        <v>T</v>
      </c>
      <c r="E431" s="3">
        <v>131</v>
      </c>
      <c r="F431" s="3" t="str">
        <f>IFERROR(MID(VLOOKUP($B431,Seqs!$A:$B,2,0),G431,1),"")</f>
        <v>F</v>
      </c>
      <c r="G431" s="3">
        <v>166</v>
      </c>
      <c r="H431" s="3" t="str">
        <f>IFERROR(MID(VLOOKUP($B431,Seqs!$A:$B,2,0),I431,1),"")</f>
        <v>K</v>
      </c>
      <c r="I431" s="23">
        <v>167</v>
      </c>
      <c r="J431" s="3" t="str">
        <f>IFERROR(MID(VLOOKUP($B431,Seqs!$A:$B,2,0),K431,1),"")</f>
        <v>S</v>
      </c>
      <c r="K431" s="23">
        <v>170</v>
      </c>
      <c r="L431" s="3" t="str">
        <f>IFERROR(MID(VLOOKUP($B431,Seqs!$A:$B,2,0),M431,1),"")</f>
        <v>C</v>
      </c>
      <c r="M431" s="3">
        <v>171</v>
      </c>
      <c r="N431" s="3" t="str">
        <f>IFERROR(MID(VLOOKUP($B431,Seqs!$A:$B,2,0),O431,1),"")</f>
        <v>V</v>
      </c>
      <c r="O431" s="3">
        <v>198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V</v>
      </c>
      <c r="U431" s="3">
        <v>210</v>
      </c>
      <c r="V431" s="3" t="str">
        <f>IFERROR(MID(VLOOKUP($B431,Seqs!$A:$B,2,0),W431,1),"")</f>
        <v>V</v>
      </c>
      <c r="W431" s="3">
        <v>243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L</v>
      </c>
      <c r="AC431" s="3">
        <v>252</v>
      </c>
      <c r="AD431" s="3" t="str">
        <f>IFERROR(MID(VLOOKUP($B431,Seqs!$A:$B,2,0),AE431,1),"")</f>
        <v>Y</v>
      </c>
      <c r="AE431" s="3">
        <v>278</v>
      </c>
      <c r="AF431" s="3" t="str">
        <f>IFERROR(MID(VLOOKUP($B431,Seqs!$A:$B,2,0),AG431,1),"")</f>
        <v>C</v>
      </c>
      <c r="AG431" s="3">
        <v>282</v>
      </c>
      <c r="AH431" s="3" t="str">
        <f>IFERROR(MID(VLOOKUP($B431,Seqs!$A:$B,2,0),AI431,1),"")</f>
        <v>I</v>
      </c>
      <c r="AI431" s="3">
        <v>284</v>
      </c>
      <c r="AJ431" s="3" t="str">
        <f>IFERROR(MID(VLOOKUP($B431,Seqs!$A:$B,2,0),AK431,1),"")</f>
        <v>H</v>
      </c>
      <c r="AK431" s="3">
        <v>289</v>
      </c>
      <c r="AL431" s="3" t="str">
        <f>IFERROR(MID(VLOOKUP($B431,Seqs!$A:$B,2,0),AM431,1),"")</f>
        <v>K</v>
      </c>
      <c r="AM431" s="3">
        <v>321</v>
      </c>
      <c r="AN431" s="3" t="str">
        <f>IFERROR(MID(VLOOKUP($B431,Seqs!$A:$B,2,0),AO431,1),"")</f>
        <v>L</v>
      </c>
      <c r="AO431" s="3">
        <v>330</v>
      </c>
      <c r="AP431" s="3" t="str">
        <f>IFERROR(MID(VLOOKUP($B431,Seqs!$A:$B,2,0),AQ431,1),"")</f>
        <v>L</v>
      </c>
      <c r="AQ431" s="3">
        <v>351</v>
      </c>
      <c r="AR431" s="3" t="str">
        <f>IFERROR(MID(VLOOKUP($B431,Seqs!$A:$B,2,0),AS431,1),"")</f>
        <v>V</v>
      </c>
      <c r="AS431" s="3">
        <v>364</v>
      </c>
      <c r="AT431" s="3" t="str">
        <f>IFERROR(MID(VLOOKUP($B431,Seqs!$A:$B,2,0),AU431,1),"")</f>
        <v>F</v>
      </c>
      <c r="AU431" s="3">
        <v>387</v>
      </c>
      <c r="AV431" s="3" t="str">
        <f>IFERROR(MID(VLOOKUP($B431,Seqs!$A:$B,2,0),AW431,1),"")</f>
        <v>N</v>
      </c>
      <c r="AW431" s="3">
        <v>388</v>
      </c>
      <c r="AX431" s="3" t="str">
        <f>IFERROR(MID(VLOOKUP($B431,Seqs!$A:$B,2,0),AY431,1),"")</f>
        <v>W</v>
      </c>
      <c r="AY431" s="3">
        <v>399</v>
      </c>
      <c r="AZ431" s="77" t="str">
        <f>VLOOKUP(B431,Classification!A:D,2,0)</f>
        <v>B1</v>
      </c>
      <c r="BA431" s="94" t="str">
        <f>VLOOKUP(B431,Classification!A:D,4,0)</f>
        <v>Calcitonin</v>
      </c>
      <c r="BB431" s="27" t="b">
        <f t="shared" ref="BB431" si="4053">AND(E431&lt;G431,OR(G431&lt;I431,I431="-"),OR(I431&lt;K431,I431="-"),OR(K431&lt;M431,K431="-"),M431&lt;O431,OR(O431&lt;Q431,Q431="-"),OR(Q431&lt;S431,Q431="-"),OR(S431&lt;U431,S431="-"),U431&lt;W431,OR(W431&lt;Y431,Y431="-"),OR(Y431&lt;AA431,Y431="-"),OR(AA431&lt;AC431,AA431="-"),AC431&lt;AE431,OR(AE431&lt;AG431,AG431="-"),OR(AG431&lt;AI431,AG431="-"),OR(AI431&lt;AK431,AI431="-"),AK431&lt;AM431,AM431&lt;AO431,AO431&lt;AQ431,AQ431&lt;AS431,AS431&lt;AU431,OR(AU431&lt;AW431,AW431="-"),OR(AW431&lt;AY431,AW431="-"))</f>
        <v>1</v>
      </c>
      <c r="BC431" s="23">
        <f t="shared" ref="BC431" si="4054">_xlfn.AGGREGATE(9,6,CH431:CS431)-_xlfn.AGGREGATE(9,6,BV431:CG431)+12</f>
        <v>225</v>
      </c>
      <c r="BD431" s="4" t="s">
        <v>1371</v>
      </c>
      <c r="BE431" s="3" t="s">
        <v>1287</v>
      </c>
      <c r="BF431" s="118">
        <v>2.4</v>
      </c>
      <c r="BG431" s="49" t="s">
        <v>1418</v>
      </c>
      <c r="BH431" s="49" t="s">
        <v>1418</v>
      </c>
      <c r="BI431" s="1"/>
      <c r="BJ431" s="70" t="s">
        <v>1283</v>
      </c>
      <c r="BK431" s="57" t="s">
        <v>1283</v>
      </c>
      <c r="BL431" s="57" t="s">
        <v>1283</v>
      </c>
      <c r="BM431" s="57" t="s">
        <v>1283</v>
      </c>
      <c r="BN431" s="57" t="s">
        <v>1283</v>
      </c>
      <c r="BO431" s="57" t="s">
        <v>1283</v>
      </c>
      <c r="BP431" s="57" t="s">
        <v>1283</v>
      </c>
      <c r="BQ431" s="57" t="s">
        <v>1283</v>
      </c>
      <c r="BR431" s="57" t="s">
        <v>1283</v>
      </c>
      <c r="BS431" s="57" t="s">
        <v>1283</v>
      </c>
      <c r="BT431" s="57" t="s">
        <v>1283</v>
      </c>
      <c r="BU431" s="57" t="s">
        <v>1283</v>
      </c>
      <c r="BV431" s="70">
        <f t="shared" ref="BV431" si="4055">E431</f>
        <v>131</v>
      </c>
      <c r="BW431" s="71">
        <f t="shared" ref="BW431" si="4056">I431</f>
        <v>167</v>
      </c>
      <c r="BX431" s="72">
        <f t="shared" ref="BX431" si="4057">M431</f>
        <v>171</v>
      </c>
      <c r="BY431" s="71" t="str">
        <f t="shared" ref="BY431" si="4058">Q431</f>
        <v>-</v>
      </c>
      <c r="BZ431" s="72">
        <f t="shared" ref="BZ431" si="4059">U431</f>
        <v>210</v>
      </c>
      <c r="CA431" s="71" t="str">
        <f t="shared" ref="CA431" si="4060">Y431</f>
        <v>-</v>
      </c>
      <c r="CB431" s="72">
        <f t="shared" ref="CB431" si="4061">AC431</f>
        <v>252</v>
      </c>
      <c r="CC431" s="71">
        <f t="shared" ref="CC431" si="4062">AG431</f>
        <v>282</v>
      </c>
      <c r="CD431" s="72">
        <f t="shared" ref="CD431" si="4063">AK431</f>
        <v>289</v>
      </c>
      <c r="CE431" s="71">
        <f t="shared" ref="CE431" si="4064">AO431</f>
        <v>330</v>
      </c>
      <c r="CF431" s="72">
        <f t="shared" ref="CF431" si="4065">AS431</f>
        <v>364</v>
      </c>
      <c r="CG431" s="71">
        <f t="shared" ref="CG431" si="4066">AW431</f>
        <v>388</v>
      </c>
      <c r="CH431" s="70">
        <f t="shared" ref="CH431" si="4067">G431</f>
        <v>166</v>
      </c>
      <c r="CI431" s="71">
        <f t="shared" ref="CI431" si="4068">K431</f>
        <v>170</v>
      </c>
      <c r="CJ431" s="72">
        <f t="shared" ref="CJ431" si="4069">O431</f>
        <v>198</v>
      </c>
      <c r="CK431" s="72" t="str">
        <f t="shared" ref="CK431" si="4070">S431</f>
        <v>-</v>
      </c>
      <c r="CL431" s="72">
        <f t="shared" ref="CL431" si="4071">W431</f>
        <v>243</v>
      </c>
      <c r="CM431" s="72" t="str">
        <f t="shared" ref="CM431" si="4072">AA431</f>
        <v>-</v>
      </c>
      <c r="CN431" s="72">
        <f t="shared" ref="CN431" si="4073">AE431</f>
        <v>278</v>
      </c>
      <c r="CO431" s="72">
        <f t="shared" ref="CO431" si="4074">AI431</f>
        <v>284</v>
      </c>
      <c r="CP431" s="72">
        <f t="shared" ref="CP431" si="4075">AM431</f>
        <v>321</v>
      </c>
      <c r="CQ431" s="72">
        <f t="shared" ref="CQ431" si="4076">AQ431</f>
        <v>351</v>
      </c>
      <c r="CR431" s="72">
        <f t="shared" ref="CR431" si="4077">AU431</f>
        <v>387</v>
      </c>
      <c r="CS431" s="72">
        <f t="shared" ref="CS431" si="4078">AY431</f>
        <v>399</v>
      </c>
      <c r="CT431" s="23">
        <f t="shared" ref="CT431" si="4079">M431-K431</f>
        <v>1</v>
      </c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"/>
      <c r="PA431" s="6"/>
      <c r="PB431" s="6"/>
      <c r="PC431" s="6"/>
      <c r="PD431" s="6"/>
      <c r="PE431" s="6"/>
      <c r="PF431" s="6"/>
      <c r="PG431" s="6"/>
      <c r="PH431" s="6"/>
      <c r="PI431" s="6"/>
      <c r="PJ431" s="6"/>
      <c r="PK431" s="6"/>
      <c r="PL431" s="6"/>
      <c r="PM431" s="6"/>
      <c r="PN431" s="6"/>
      <c r="PO431" s="6"/>
      <c r="PP431" s="6"/>
      <c r="PQ431" s="6"/>
      <c r="PR431" s="6"/>
      <c r="PS431" s="6"/>
      <c r="PT431" s="6"/>
      <c r="PU431" s="6"/>
      <c r="PV431" s="6"/>
      <c r="PW431" s="6"/>
      <c r="PX431" s="6"/>
      <c r="PY431" s="6"/>
      <c r="PZ431" s="6"/>
      <c r="QA431" s="6"/>
      <c r="QB431" s="6"/>
      <c r="QC431" s="6"/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  <c r="SC431" s="6"/>
      <c r="SD431" s="6"/>
      <c r="SE431" s="6"/>
      <c r="SF431" s="6"/>
      <c r="SG431" s="6"/>
      <c r="SH431" s="6"/>
      <c r="SI431" s="6"/>
      <c r="SJ431" s="6"/>
      <c r="SK431" s="6"/>
      <c r="SL431" s="6"/>
      <c r="SM431" s="6"/>
      <c r="SN431" s="6"/>
      <c r="SO431" s="6"/>
      <c r="SP431" s="6"/>
      <c r="SQ431" s="6"/>
      <c r="SR431" s="6"/>
      <c r="SS431" s="6"/>
      <c r="ST431" s="6"/>
      <c r="SU431" s="6"/>
      <c r="SV431" s="6"/>
      <c r="SW431" s="6"/>
      <c r="SX431" s="6"/>
      <c r="SY431" s="6"/>
      <c r="SZ431" s="6"/>
      <c r="TA431" s="6"/>
      <c r="TB431" s="6"/>
      <c r="TC431" s="6"/>
      <c r="TD431" s="6"/>
      <c r="TE431" s="6"/>
      <c r="TF431" s="6"/>
      <c r="TG431" s="6"/>
      <c r="TH431" s="6"/>
      <c r="TI431" s="6"/>
      <c r="TJ431" s="6"/>
      <c r="TK431" s="6"/>
      <c r="TL431" s="6"/>
      <c r="TM431" s="6"/>
      <c r="TN431" s="6"/>
      <c r="TO431" s="6"/>
      <c r="TP431" s="6"/>
      <c r="TQ431" s="6"/>
      <c r="TR431" s="6"/>
      <c r="TS431" s="6"/>
      <c r="TT431" s="6"/>
      <c r="TU431" s="6"/>
      <c r="TV431" s="6"/>
      <c r="TW431" s="6"/>
      <c r="TX431" s="6"/>
      <c r="TY431" s="6"/>
      <c r="TZ431" s="6"/>
      <c r="UA431" s="6"/>
      <c r="UB431" s="6"/>
      <c r="UC431" s="6"/>
      <c r="UD431" s="6"/>
      <c r="UE431" s="6"/>
      <c r="UF431" s="6"/>
      <c r="UG431" s="6"/>
      <c r="UH431" s="6"/>
      <c r="UI431" s="6"/>
      <c r="UJ431" s="6"/>
      <c r="UK431" s="6"/>
      <c r="UL431" s="6"/>
      <c r="UM431" s="6"/>
      <c r="UN431" s="6"/>
      <c r="UO431" s="6"/>
      <c r="UP431" s="6"/>
      <c r="UQ431" s="6"/>
      <c r="UR431" s="6"/>
      <c r="US431" s="6"/>
      <c r="UT431" s="6"/>
      <c r="UU431" s="6"/>
      <c r="UV431" s="6"/>
      <c r="UW431" s="6"/>
      <c r="UX431" s="6"/>
      <c r="UY431" s="6"/>
      <c r="UZ431" s="6"/>
      <c r="VA431" s="6"/>
      <c r="VB431" s="6"/>
      <c r="VC431" s="6"/>
      <c r="VD431" s="6"/>
      <c r="VE431" s="6"/>
      <c r="VF431" s="6"/>
      <c r="VG431" s="6"/>
      <c r="VH431" s="6"/>
      <c r="VI431" s="6"/>
      <c r="VJ431" s="6"/>
      <c r="VK431" s="6"/>
      <c r="VL431" s="6"/>
      <c r="VM431" s="6"/>
      <c r="VN431" s="6"/>
      <c r="VO431" s="6"/>
      <c r="VP431" s="6"/>
      <c r="VQ431" s="6"/>
      <c r="VR431" s="6"/>
      <c r="VS431" s="6"/>
      <c r="VT431" s="6"/>
      <c r="VU431" s="6"/>
      <c r="VV431" s="6"/>
      <c r="VW431" s="6"/>
      <c r="VX431" s="6"/>
      <c r="VY431" s="6"/>
      <c r="VZ431" s="6"/>
      <c r="WA431" s="6"/>
      <c r="WB431" s="6"/>
      <c r="WC431" s="6"/>
      <c r="WD431" s="6"/>
      <c r="WE431" s="6"/>
      <c r="WF431" s="6"/>
      <c r="WG431" s="6"/>
      <c r="WH431" s="6"/>
      <c r="WI431" s="6"/>
      <c r="WJ431" s="6"/>
      <c r="WK431" s="6"/>
      <c r="WL431" s="6"/>
      <c r="WM431" s="6"/>
      <c r="WN431" s="6"/>
      <c r="WO431" s="6"/>
      <c r="WP431" s="6"/>
      <c r="WQ431" s="6"/>
      <c r="WR431" s="6"/>
      <c r="WS431" s="6"/>
      <c r="WT431" s="6"/>
      <c r="WU431" s="6"/>
      <c r="WV431" s="6"/>
      <c r="WW431" s="6"/>
      <c r="WX431" s="6"/>
      <c r="WY431" s="6"/>
      <c r="WZ431" s="6"/>
      <c r="XA431" s="6"/>
      <c r="XB431" s="6"/>
      <c r="XC431" s="6"/>
      <c r="XD431" s="6"/>
      <c r="XE431" s="6"/>
      <c r="XF431" s="6"/>
      <c r="XG431" s="6"/>
      <c r="XH431" s="6"/>
      <c r="XI431" s="6"/>
      <c r="XJ431" s="6"/>
      <c r="XK431" s="6"/>
      <c r="XL431" s="6"/>
      <c r="XM431" s="6"/>
      <c r="XN431" s="6"/>
      <c r="XO431" s="6"/>
      <c r="XP431" s="6"/>
      <c r="XQ431" s="6"/>
      <c r="XR431" s="6"/>
      <c r="XS431" s="6"/>
      <c r="XT431" s="6"/>
      <c r="XU431" s="6"/>
      <c r="XV431" s="6"/>
      <c r="XW431" s="6"/>
      <c r="XX431" s="6"/>
      <c r="XY431" s="6"/>
      <c r="XZ431" s="6"/>
      <c r="YA431" s="6"/>
      <c r="YB431" s="6"/>
      <c r="YC431" s="6"/>
      <c r="YD431" s="6"/>
      <c r="YE431" s="6"/>
      <c r="YF431" s="6"/>
      <c r="YG431" s="6"/>
      <c r="YH431" s="6"/>
      <c r="YI431" s="6"/>
      <c r="YJ431" s="6"/>
      <c r="YK431" s="6"/>
      <c r="YL431" s="6"/>
      <c r="YM431" s="6"/>
      <c r="YN431" s="6"/>
      <c r="YO431" s="6"/>
      <c r="YP431" s="6"/>
      <c r="YQ431" s="6"/>
      <c r="YR431" s="6"/>
      <c r="YS431" s="6"/>
      <c r="YT431" s="6"/>
      <c r="YU431" s="6"/>
      <c r="YV431" s="6"/>
      <c r="YW431" s="6"/>
      <c r="YX431" s="6"/>
      <c r="YY431" s="6"/>
      <c r="YZ431" s="6"/>
      <c r="ZA431" s="6"/>
      <c r="ZB431" s="6"/>
      <c r="ZC431" s="6"/>
      <c r="ZD431" s="6"/>
      <c r="ZE431" s="6"/>
      <c r="ZF431" s="6"/>
      <c r="ZG431" s="6"/>
      <c r="ZH431" s="6"/>
      <c r="ZI431" s="6"/>
      <c r="ZJ431" s="6"/>
      <c r="ZK431" s="6"/>
      <c r="ZL431" s="6"/>
      <c r="ZM431" s="6"/>
      <c r="ZN431" s="6"/>
      <c r="ZO431" s="6"/>
      <c r="ZP431" s="6"/>
      <c r="ZQ431" s="6"/>
      <c r="ZR431" s="6"/>
      <c r="ZS431" s="6"/>
      <c r="ZT431" s="6"/>
      <c r="ZU431" s="6"/>
      <c r="ZV431" s="6"/>
      <c r="ZW431" s="6"/>
      <c r="ZX431" s="6"/>
      <c r="ZY431" s="6"/>
      <c r="ZZ431" s="6"/>
      <c r="AAA431" s="6"/>
      <c r="AAB431" s="6"/>
      <c r="AAC431" s="6"/>
      <c r="AAD431" s="6"/>
      <c r="AAE431" s="6"/>
      <c r="AAF431" s="6"/>
      <c r="AAG431" s="6"/>
      <c r="AAH431" s="6"/>
      <c r="AAI431" s="6"/>
      <c r="AAJ431" s="6"/>
      <c r="AAK431" s="6"/>
      <c r="AAL431" s="6"/>
      <c r="AAM431" s="6"/>
      <c r="AAN431" s="6"/>
      <c r="AAO431" s="6"/>
      <c r="AAP431" s="6"/>
      <c r="AAQ431" s="6"/>
      <c r="AAR431" s="6"/>
      <c r="AAS431" s="6"/>
      <c r="AAT431" s="6"/>
      <c r="AAU431" s="6"/>
      <c r="AAV431" s="6"/>
      <c r="AAW431" s="6"/>
      <c r="AAX431" s="6"/>
      <c r="AAY431" s="6"/>
      <c r="AAZ431" s="6"/>
      <c r="ABA431" s="6"/>
      <c r="ABB431" s="6"/>
      <c r="ABC431" s="6"/>
      <c r="ABD431" s="6"/>
      <c r="ABE431" s="6"/>
      <c r="ABF431" s="6"/>
      <c r="ABG431" s="6"/>
      <c r="ABH431" s="6"/>
      <c r="ABI431" s="6"/>
      <c r="ABJ431" s="6"/>
      <c r="ABK431" s="6"/>
      <c r="ABL431" s="6"/>
      <c r="ABM431" s="6"/>
      <c r="ABN431" s="6"/>
      <c r="ABO431" s="6"/>
      <c r="ABP431" s="6"/>
      <c r="ABQ431" s="6"/>
      <c r="ABR431" s="6"/>
      <c r="ABS431" s="6"/>
      <c r="ABT431" s="6"/>
      <c r="ABU431" s="6"/>
      <c r="ABV431" s="6"/>
      <c r="ABW431" s="6"/>
      <c r="ABX431" s="6"/>
      <c r="ABY431" s="6"/>
      <c r="ABZ431" s="6"/>
      <c r="ACA431" s="6"/>
      <c r="ACB431" s="6"/>
      <c r="ACC431" s="6"/>
      <c r="ACD431" s="6"/>
      <c r="ACE431" s="6"/>
      <c r="ACF431" s="6"/>
      <c r="ACG431" s="6"/>
      <c r="ACH431" s="6"/>
      <c r="ACI431" s="6"/>
      <c r="ACJ431" s="6"/>
      <c r="ACK431" s="6"/>
      <c r="ACL431" s="6"/>
      <c r="ACM431" s="6"/>
      <c r="ACN431" s="6"/>
      <c r="ACO431" s="6"/>
      <c r="ACP431" s="6"/>
      <c r="ACQ431" s="6"/>
      <c r="ACR431" s="6"/>
      <c r="ACS431" s="6"/>
      <c r="ACT431" s="6"/>
      <c r="ACU431" s="6"/>
      <c r="ACV431" s="6"/>
      <c r="ACW431" s="6"/>
      <c r="ACX431" s="6"/>
      <c r="ACY431" s="6"/>
      <c r="ACZ431" s="6"/>
      <c r="ADA431" s="6"/>
      <c r="ADB431" s="6"/>
      <c r="ADC431" s="6"/>
      <c r="ADD431" s="6"/>
      <c r="ADE431" s="6"/>
      <c r="ADF431" s="6"/>
      <c r="ADG431" s="6"/>
      <c r="ADH431" s="6"/>
      <c r="ADI431" s="6"/>
      <c r="ADJ431" s="6"/>
      <c r="ADK431" s="6"/>
      <c r="ADL431" s="6"/>
      <c r="ADM431" s="6"/>
      <c r="ADN431" s="6"/>
      <c r="ADO431" s="6"/>
      <c r="ADP431" s="6"/>
      <c r="ADQ431" s="6"/>
      <c r="ADR431" s="6"/>
      <c r="ADS431" s="6"/>
      <c r="ADT431" s="6"/>
      <c r="ADU431" s="6"/>
      <c r="ADV431" s="6"/>
      <c r="ADW431" s="6"/>
      <c r="ADX431" s="6"/>
      <c r="ADY431" s="6"/>
      <c r="ADZ431" s="6"/>
      <c r="AEA431" s="6"/>
      <c r="AEB431" s="6"/>
      <c r="AEC431" s="6"/>
      <c r="AED431" s="6"/>
      <c r="AEE431" s="6"/>
      <c r="AEF431" s="6"/>
      <c r="AEG431" s="6"/>
      <c r="AEH431" s="6"/>
      <c r="AEI431" s="6"/>
      <c r="AEJ431" s="6"/>
      <c r="AEK431" s="6"/>
      <c r="AEL431" s="6"/>
      <c r="AEM431" s="6"/>
      <c r="AEN431" s="6"/>
      <c r="AEO431" s="6"/>
      <c r="AEP431" s="6"/>
      <c r="AEQ431" s="6"/>
      <c r="AER431" s="6"/>
      <c r="AES431" s="6"/>
      <c r="AET431" s="6"/>
      <c r="AEU431" s="6"/>
      <c r="AEV431" s="6"/>
      <c r="AEW431" s="6"/>
      <c r="AEX431" s="6"/>
      <c r="AEY431" s="6"/>
      <c r="AEZ431" s="6"/>
      <c r="AFA431" s="6"/>
      <c r="AFB431" s="6"/>
      <c r="AFC431" s="6"/>
      <c r="AFD431" s="6"/>
      <c r="AFE431" s="6"/>
      <c r="AFF431" s="6"/>
      <c r="AFG431" s="6"/>
      <c r="AFH431" s="6"/>
      <c r="AFI431" s="6"/>
      <c r="AFJ431" s="6"/>
      <c r="AFK431" s="6"/>
      <c r="AFL431" s="6"/>
      <c r="AFM431" s="6"/>
      <c r="AFN431" s="6"/>
      <c r="AFO431" s="6"/>
      <c r="AFP431" s="6"/>
      <c r="AFQ431" s="6"/>
      <c r="AFR431" s="6"/>
      <c r="AFS431" s="6"/>
      <c r="AFT431" s="6"/>
      <c r="AFU431" s="6"/>
      <c r="AFV431" s="6"/>
      <c r="AFW431" s="6"/>
      <c r="AFX431" s="6"/>
      <c r="AFY431" s="6"/>
      <c r="AFZ431" s="6"/>
      <c r="AGA431" s="6"/>
      <c r="AGB431" s="6"/>
      <c r="AGC431" s="6"/>
      <c r="AGD431" s="6"/>
      <c r="AGE431" s="6"/>
      <c r="AGF431" s="6"/>
      <c r="AGG431" s="6"/>
      <c r="AGH431" s="6"/>
      <c r="AGI431" s="6"/>
      <c r="AGJ431" s="6"/>
      <c r="AGK431" s="6"/>
      <c r="AGL431" s="6"/>
      <c r="AGM431" s="6"/>
      <c r="AGN431" s="6"/>
      <c r="AGO431" s="6"/>
      <c r="AGP431" s="6"/>
      <c r="AGQ431" s="6"/>
      <c r="AGR431" s="6"/>
      <c r="AGS431" s="6"/>
      <c r="AGT431" s="6"/>
      <c r="AGU431" s="6"/>
      <c r="AGV431" s="6"/>
      <c r="AGW431" s="6"/>
      <c r="AGX431" s="6"/>
      <c r="AGY431" s="6"/>
      <c r="AGZ431" s="6"/>
      <c r="AHA431" s="6"/>
      <c r="AHB431" s="6"/>
      <c r="AHC431" s="6"/>
      <c r="AHD431" s="6"/>
      <c r="AHE431" s="6"/>
      <c r="AHF431" s="6"/>
      <c r="AHG431" s="6"/>
      <c r="AHH431" s="6"/>
      <c r="AHI431" s="6"/>
      <c r="AHJ431" s="6"/>
      <c r="AHK431" s="6"/>
      <c r="AHL431" s="6"/>
      <c r="AHM431" s="6"/>
      <c r="AHN431" s="6"/>
      <c r="AHO431" s="6"/>
      <c r="AHP431" s="6"/>
      <c r="AHQ431" s="6"/>
      <c r="AHR431" s="6"/>
      <c r="AHS431" s="6"/>
      <c r="AHT431" s="6"/>
      <c r="AHU431" s="6"/>
      <c r="AHV431" s="6"/>
      <c r="AHW431" s="6"/>
      <c r="AHX431" s="6"/>
      <c r="AHY431" s="6"/>
      <c r="AHZ431" s="6"/>
      <c r="AIA431" s="6"/>
      <c r="AIB431" s="6"/>
      <c r="AIC431" s="6"/>
      <c r="AID431" s="6"/>
      <c r="AIE431" s="6"/>
      <c r="AIF431" s="6"/>
      <c r="AIG431" s="6"/>
      <c r="AIH431" s="6"/>
      <c r="AII431" s="6"/>
      <c r="AIJ431" s="6"/>
      <c r="AIK431" s="6"/>
      <c r="AIL431" s="6"/>
      <c r="AIM431" s="6"/>
      <c r="AIN431" s="6"/>
      <c r="AIO431" s="6"/>
      <c r="AIP431" s="6"/>
      <c r="AIQ431" s="6"/>
      <c r="AIR431" s="6"/>
      <c r="AIS431" s="6"/>
      <c r="AIT431" s="6"/>
      <c r="AIU431" s="6"/>
      <c r="AIV431" s="6"/>
      <c r="AIW431" s="6"/>
      <c r="AIX431" s="6"/>
      <c r="AIY431" s="6"/>
      <c r="AIZ431" s="6"/>
      <c r="AJA431" s="6"/>
      <c r="AJB431" s="6"/>
      <c r="AJC431" s="6"/>
      <c r="AJD431" s="6"/>
      <c r="AJE431" s="6"/>
      <c r="AJF431" s="6"/>
      <c r="AJG431" s="6"/>
      <c r="AJH431" s="6"/>
      <c r="AJI431" s="6"/>
      <c r="AJJ431" s="6"/>
      <c r="AJK431" s="6"/>
      <c r="AJL431" s="6"/>
      <c r="AJM431" s="6"/>
      <c r="AJN431" s="6"/>
      <c r="AJO431" s="6"/>
      <c r="AJP431" s="6"/>
      <c r="AJQ431" s="6"/>
      <c r="AJR431" s="6"/>
      <c r="AJS431" s="6"/>
      <c r="AJT431" s="6"/>
      <c r="AJU431" s="6"/>
      <c r="AJV431" s="6"/>
      <c r="AJW431" s="6"/>
      <c r="AJX431" s="6"/>
      <c r="AJY431" s="6"/>
      <c r="AJZ431" s="6"/>
      <c r="AKA431" s="6"/>
      <c r="AKB431" s="6"/>
      <c r="AKC431" s="6"/>
      <c r="AKD431" s="6"/>
      <c r="AKE431" s="6"/>
      <c r="AKF431" s="6"/>
      <c r="AKG431" s="6"/>
      <c r="AKH431" s="6"/>
      <c r="AKI431" s="6"/>
      <c r="AKJ431" s="6"/>
      <c r="AKK431" s="6"/>
      <c r="AKL431" s="6"/>
      <c r="AKM431" s="6"/>
      <c r="AKN431" s="6"/>
      <c r="AKO431" s="6"/>
      <c r="AKP431" s="6"/>
      <c r="AKQ431" s="6"/>
      <c r="AKR431" s="6"/>
      <c r="AKS431" s="6"/>
      <c r="AKT431" s="6"/>
      <c r="AKU431" s="6"/>
      <c r="AKV431" s="6"/>
      <c r="AKW431" s="6"/>
      <c r="AKX431" s="6"/>
      <c r="AKY431" s="6"/>
      <c r="AKZ431" s="6"/>
      <c r="ALA431" s="6"/>
      <c r="ALB431" s="6"/>
      <c r="ALC431" s="6"/>
      <c r="ALD431" s="6"/>
      <c r="ALE431" s="6"/>
      <c r="ALF431" s="6"/>
      <c r="ALG431" s="6"/>
      <c r="ALH431" s="6"/>
      <c r="ALI431" s="6"/>
      <c r="ALJ431" s="6"/>
      <c r="ALK431" s="6"/>
      <c r="ALL431" s="6"/>
      <c r="ALM431" s="6"/>
      <c r="ALN431" s="6"/>
      <c r="ALO431" s="6"/>
      <c r="ALP431" s="6"/>
      <c r="ALQ431" s="6"/>
      <c r="ALR431" s="6"/>
      <c r="ALS431" s="6"/>
      <c r="ALT431" s="6"/>
      <c r="ALU431" s="6"/>
      <c r="ALV431" s="6"/>
      <c r="ALW431" s="6"/>
      <c r="ALX431" s="6"/>
      <c r="ALY431" s="6"/>
      <c r="ALZ431" s="6"/>
      <c r="AMA431" s="6"/>
      <c r="AMB431" s="6"/>
      <c r="AMC431" s="6"/>
      <c r="AMD431" s="6"/>
      <c r="AME431" s="6"/>
      <c r="AMF431" s="6"/>
      <c r="AMG431" s="6"/>
      <c r="AMH431" s="6"/>
      <c r="AMI431" s="6"/>
      <c r="AMJ431" s="6"/>
      <c r="AMK431" s="6"/>
      <c r="AML431" s="6"/>
      <c r="AMM431" s="6"/>
      <c r="AMN431" s="6"/>
      <c r="AMO431" s="6"/>
      <c r="AMP431" s="6"/>
    </row>
    <row r="432" spans="1:1030" x14ac:dyDescent="0.2">
      <c r="A432" s="3" t="str">
        <f t="shared" ref="A432" si="4080">CONCATENATE(B432,"_",C432)</f>
        <v>calrl_human_6UVA</v>
      </c>
      <c r="B432" s="2" t="s">
        <v>401</v>
      </c>
      <c r="C432" s="3" t="s">
        <v>1670</v>
      </c>
      <c r="D432" s="3" t="str">
        <f>IFERROR(MID(VLOOKUP($B432,Seqs!$A:$B,2,0),E432,1),"")</f>
        <v>T</v>
      </c>
      <c r="E432" s="3">
        <v>131</v>
      </c>
      <c r="F432" s="3" t="str">
        <f>IFERROR(MID(VLOOKUP($B432,Seqs!$A:$B,2,0),G432,1),"")</f>
        <v>F</v>
      </c>
      <c r="G432" s="3">
        <v>166</v>
      </c>
      <c r="H432" s="3" t="str">
        <f>IFERROR(MID(VLOOKUP($B432,Seqs!$A:$B,2,0),I432,1),"")</f>
        <v>K</v>
      </c>
      <c r="I432" s="23">
        <v>167</v>
      </c>
      <c r="J432" s="3" t="str">
        <f>IFERROR(MID(VLOOKUP($B432,Seqs!$A:$B,2,0),K432,1),"")</f>
        <v>S</v>
      </c>
      <c r="K432" s="23">
        <v>170</v>
      </c>
      <c r="L432" s="3" t="str">
        <f>IFERROR(MID(VLOOKUP($B432,Seqs!$A:$B,2,0),M432,1),"")</f>
        <v>C</v>
      </c>
      <c r="M432" s="3">
        <v>171</v>
      </c>
      <c r="N432" s="3" t="str">
        <f>IFERROR(MID(VLOOKUP($B432,Seqs!$A:$B,2,0),O432,1),"")</f>
        <v>V</v>
      </c>
      <c r="O432" s="3">
        <v>198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V</v>
      </c>
      <c r="U432" s="3">
        <v>210</v>
      </c>
      <c r="V432" s="3" t="str">
        <f>IFERROR(MID(VLOOKUP($B432,Seqs!$A:$B,2,0),W432,1),"")</f>
        <v>V</v>
      </c>
      <c r="W432" s="3">
        <v>243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L</v>
      </c>
      <c r="AC432" s="3">
        <v>252</v>
      </c>
      <c r="AD432" s="3" t="str">
        <f>IFERROR(MID(VLOOKUP($B432,Seqs!$A:$B,2,0),AE432,1),"")</f>
        <v>Y</v>
      </c>
      <c r="AE432" s="3">
        <v>278</v>
      </c>
      <c r="AF432" s="3" t="str">
        <f>IFERROR(MID(VLOOKUP($B432,Seqs!$A:$B,2,0),AG432,1),"")</f>
        <v>C</v>
      </c>
      <c r="AG432" s="3">
        <v>282</v>
      </c>
      <c r="AH432" s="3" t="str">
        <f>IFERROR(MID(VLOOKUP($B432,Seqs!$A:$B,2,0),AI432,1),"")</f>
        <v>I</v>
      </c>
      <c r="AI432" s="3">
        <v>284</v>
      </c>
      <c r="AJ432" s="3" t="str">
        <f>IFERROR(MID(VLOOKUP($B432,Seqs!$A:$B,2,0),AK432,1),"")</f>
        <v>L</v>
      </c>
      <c r="AK432" s="3">
        <v>290</v>
      </c>
      <c r="AL432" s="3" t="str">
        <f>IFERROR(MID(VLOOKUP($B432,Seqs!$A:$B,2,0),AM432,1),"")</f>
        <v>K</v>
      </c>
      <c r="AM432" s="3">
        <v>321</v>
      </c>
      <c r="AN432" s="3" t="str">
        <f>IFERROR(MID(VLOOKUP($B432,Seqs!$A:$B,2,0),AO432,1),"")</f>
        <v>L</v>
      </c>
      <c r="AO432" s="3">
        <v>330</v>
      </c>
      <c r="AP432" s="3" t="str">
        <f>IFERROR(MID(VLOOKUP($B432,Seqs!$A:$B,2,0),AQ432,1),"")</f>
        <v>L</v>
      </c>
      <c r="AQ432" s="3">
        <v>351</v>
      </c>
      <c r="AR432" s="3" t="str">
        <f>IFERROR(MID(VLOOKUP($B432,Seqs!$A:$B,2,0),AS432,1),"")</f>
        <v>E</v>
      </c>
      <c r="AS432" s="3">
        <v>363</v>
      </c>
      <c r="AT432" s="3" t="str">
        <f>IFERROR(MID(VLOOKUP($B432,Seqs!$A:$B,2,0),AU432,1),"")</f>
        <v>F</v>
      </c>
      <c r="AU432" s="3">
        <v>387</v>
      </c>
      <c r="AV432" s="3" t="str">
        <f>IFERROR(MID(VLOOKUP($B432,Seqs!$A:$B,2,0),AW432,1),"")</f>
        <v>N</v>
      </c>
      <c r="AW432" s="3">
        <v>388</v>
      </c>
      <c r="AX432" s="3" t="str">
        <f>IFERROR(MID(VLOOKUP($B432,Seqs!$A:$B,2,0),AY432,1),"")</f>
        <v>W</v>
      </c>
      <c r="AY432" s="3">
        <v>399</v>
      </c>
      <c r="AZ432" s="77" t="str">
        <f>VLOOKUP(B432,Classification!A:D,2,0)</f>
        <v>B1</v>
      </c>
      <c r="BA432" s="94" t="str">
        <f>VLOOKUP(B432,Classification!A:D,4,0)</f>
        <v>Calcitonin</v>
      </c>
      <c r="BB432" s="27" t="b">
        <f t="shared" ref="BB432" si="4081">AND(E432&lt;G432,OR(G432&lt;I432,I432="-"),OR(I432&lt;K432,I432="-"),OR(K432&lt;M432,K432="-"),M432&lt;O432,OR(O432&lt;Q432,Q432="-"),OR(Q432&lt;S432,Q432="-"),OR(S432&lt;U432,S432="-"),U432&lt;W432,OR(W432&lt;Y432,Y432="-"),OR(Y432&lt;AA432,Y432="-"),OR(AA432&lt;AC432,AA432="-"),AC432&lt;AE432,OR(AE432&lt;AG432,AG432="-"),OR(AG432&lt;AI432,AG432="-"),OR(AI432&lt;AK432,AI432="-"),AK432&lt;AM432,AM432&lt;AO432,AO432&lt;AQ432,AQ432&lt;AS432,AS432&lt;AU432,OR(AU432&lt;AW432,AW432="-"),OR(AW432&lt;AY432,AW432="-"))</f>
        <v>1</v>
      </c>
      <c r="BC432" s="23">
        <f t="shared" ref="BC432" si="4082">_xlfn.AGGREGATE(9,6,CH432:CS432)-_xlfn.AGGREGATE(9,6,BV432:CG432)+12</f>
        <v>225</v>
      </c>
      <c r="BD432" s="4" t="s">
        <v>23</v>
      </c>
      <c r="BE432" s="3" t="s">
        <v>1287</v>
      </c>
      <c r="BF432" s="118">
        <v>2.2999999999999998</v>
      </c>
      <c r="BG432" s="49" t="s">
        <v>1418</v>
      </c>
      <c r="BH432" s="49" t="s">
        <v>1418</v>
      </c>
      <c r="BI432" s="1"/>
      <c r="BJ432" s="70" t="s">
        <v>1283</v>
      </c>
      <c r="BK432" s="57" t="s">
        <v>1283</v>
      </c>
      <c r="BL432" s="57" t="s">
        <v>1283</v>
      </c>
      <c r="BM432" s="57" t="s">
        <v>1283</v>
      </c>
      <c r="BN432" s="57" t="s">
        <v>1283</v>
      </c>
      <c r="BO432" s="57" t="s">
        <v>1283</v>
      </c>
      <c r="BP432" s="57" t="s">
        <v>1283</v>
      </c>
      <c r="BQ432" s="57" t="s">
        <v>1283</v>
      </c>
      <c r="BR432" s="57" t="s">
        <v>1283</v>
      </c>
      <c r="BS432" s="57" t="s">
        <v>1283</v>
      </c>
      <c r="BT432" s="57" t="s">
        <v>1283</v>
      </c>
      <c r="BU432" s="57" t="s">
        <v>1283</v>
      </c>
      <c r="BV432" s="70">
        <f t="shared" ref="BV432" si="4083">E432</f>
        <v>131</v>
      </c>
      <c r="BW432" s="71">
        <f t="shared" ref="BW432" si="4084">I432</f>
        <v>167</v>
      </c>
      <c r="BX432" s="72">
        <f t="shared" ref="BX432" si="4085">M432</f>
        <v>171</v>
      </c>
      <c r="BY432" s="71" t="str">
        <f t="shared" ref="BY432" si="4086">Q432</f>
        <v>-</v>
      </c>
      <c r="BZ432" s="72">
        <f t="shared" ref="BZ432" si="4087">U432</f>
        <v>210</v>
      </c>
      <c r="CA432" s="71" t="str">
        <f t="shared" ref="CA432" si="4088">Y432</f>
        <v>-</v>
      </c>
      <c r="CB432" s="72">
        <f t="shared" ref="CB432" si="4089">AC432</f>
        <v>252</v>
      </c>
      <c r="CC432" s="71">
        <f t="shared" ref="CC432" si="4090">AG432</f>
        <v>282</v>
      </c>
      <c r="CD432" s="72">
        <f t="shared" ref="CD432" si="4091">AK432</f>
        <v>290</v>
      </c>
      <c r="CE432" s="71">
        <f t="shared" ref="CE432" si="4092">AO432</f>
        <v>330</v>
      </c>
      <c r="CF432" s="72">
        <f t="shared" ref="CF432" si="4093">AS432</f>
        <v>363</v>
      </c>
      <c r="CG432" s="71">
        <f t="shared" ref="CG432" si="4094">AW432</f>
        <v>388</v>
      </c>
      <c r="CH432" s="70">
        <f t="shared" ref="CH432" si="4095">G432</f>
        <v>166</v>
      </c>
      <c r="CI432" s="71">
        <f t="shared" ref="CI432" si="4096">K432</f>
        <v>170</v>
      </c>
      <c r="CJ432" s="72">
        <f t="shared" ref="CJ432" si="4097">O432</f>
        <v>198</v>
      </c>
      <c r="CK432" s="72" t="str">
        <f t="shared" ref="CK432" si="4098">S432</f>
        <v>-</v>
      </c>
      <c r="CL432" s="72">
        <f t="shared" ref="CL432" si="4099">W432</f>
        <v>243</v>
      </c>
      <c r="CM432" s="72" t="str">
        <f t="shared" ref="CM432" si="4100">AA432</f>
        <v>-</v>
      </c>
      <c r="CN432" s="72">
        <f t="shared" ref="CN432" si="4101">AE432</f>
        <v>278</v>
      </c>
      <c r="CO432" s="72">
        <f t="shared" ref="CO432" si="4102">AI432</f>
        <v>284</v>
      </c>
      <c r="CP432" s="72">
        <f t="shared" ref="CP432" si="4103">AM432</f>
        <v>321</v>
      </c>
      <c r="CQ432" s="72">
        <f t="shared" ref="CQ432" si="4104">AQ432</f>
        <v>351</v>
      </c>
      <c r="CR432" s="72">
        <f t="shared" ref="CR432" si="4105">AU432</f>
        <v>387</v>
      </c>
      <c r="CS432" s="72">
        <f t="shared" ref="CS432" si="4106">AY432</f>
        <v>399</v>
      </c>
      <c r="CT432" s="23">
        <f t="shared" ref="CT432" si="4107">M432-K432</f>
        <v>1</v>
      </c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"/>
      <c r="PA432" s="6"/>
      <c r="PB432" s="6"/>
      <c r="PC432" s="6"/>
      <c r="PD432" s="6"/>
      <c r="PE432" s="6"/>
      <c r="PF432" s="6"/>
      <c r="PG432" s="6"/>
      <c r="PH432" s="6"/>
      <c r="PI432" s="6"/>
      <c r="PJ432" s="6"/>
      <c r="PK432" s="6"/>
      <c r="PL432" s="6"/>
      <c r="PM432" s="6"/>
      <c r="PN432" s="6"/>
      <c r="PO432" s="6"/>
      <c r="PP432" s="6"/>
      <c r="PQ432" s="6"/>
      <c r="PR432" s="6"/>
      <c r="PS432" s="6"/>
      <c r="PT432" s="6"/>
      <c r="PU432" s="6"/>
      <c r="PV432" s="6"/>
      <c r="PW432" s="6"/>
      <c r="PX432" s="6"/>
      <c r="PY432" s="6"/>
      <c r="PZ432" s="6"/>
      <c r="QA432" s="6"/>
      <c r="QB432" s="6"/>
      <c r="QC432" s="6"/>
      <c r="QD432" s="6"/>
      <c r="QE432" s="6"/>
      <c r="QF432" s="6"/>
      <c r="QG432" s="6"/>
      <c r="QH432" s="6"/>
      <c r="QI432" s="6"/>
      <c r="QJ432" s="6"/>
      <c r="QK432" s="6"/>
      <c r="QL432" s="6"/>
      <c r="QM432" s="6"/>
      <c r="QN432" s="6"/>
      <c r="QO432" s="6"/>
      <c r="QP432" s="6"/>
      <c r="QQ432" s="6"/>
      <c r="QR432" s="6"/>
      <c r="QS432" s="6"/>
      <c r="QT432" s="6"/>
      <c r="QU432" s="6"/>
      <c r="QV432" s="6"/>
      <c r="QW432" s="6"/>
      <c r="QX432" s="6"/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r="SM432" s="6"/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r="SZ432" s="6"/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r="UJ432" s="6"/>
      <c r="UK432" s="6"/>
      <c r="UL432" s="6"/>
      <c r="UM432" s="6"/>
      <c r="UN432" s="6"/>
      <c r="UO432" s="6"/>
      <c r="UP432" s="6"/>
      <c r="UQ432" s="6"/>
      <c r="UR432" s="6"/>
      <c r="US432" s="6"/>
      <c r="UT432" s="6"/>
      <c r="UU432" s="6"/>
      <c r="UV432" s="6"/>
      <c r="UW432" s="6"/>
      <c r="UX432" s="6"/>
      <c r="UY432" s="6"/>
      <c r="UZ432" s="6"/>
      <c r="VA432" s="6"/>
      <c r="VB432" s="6"/>
      <c r="VC432" s="6"/>
      <c r="VD432" s="6"/>
      <c r="VE432" s="6"/>
      <c r="VF432" s="6"/>
      <c r="VG432" s="6"/>
      <c r="VH432" s="6"/>
      <c r="VI432" s="6"/>
      <c r="VJ432" s="6"/>
      <c r="VK432" s="6"/>
      <c r="VL432" s="6"/>
      <c r="VM432" s="6"/>
      <c r="VN432" s="6"/>
      <c r="VO432" s="6"/>
      <c r="VP432" s="6"/>
      <c r="VQ432" s="6"/>
      <c r="VR432" s="6"/>
      <c r="VS432" s="6"/>
      <c r="VT432" s="6"/>
      <c r="VU432" s="6"/>
      <c r="VV432" s="6"/>
      <c r="VW432" s="6"/>
      <c r="VX432" s="6"/>
      <c r="VY432" s="6"/>
      <c r="VZ432" s="6"/>
      <c r="WA432" s="6"/>
      <c r="WB432" s="6"/>
      <c r="WC432" s="6"/>
      <c r="WD432" s="6"/>
      <c r="WE432" s="6"/>
      <c r="WF432" s="6"/>
      <c r="WG432" s="6"/>
      <c r="WH432" s="6"/>
      <c r="WI432" s="6"/>
      <c r="WJ432" s="6"/>
      <c r="WK432" s="6"/>
      <c r="WL432" s="6"/>
      <c r="WM432" s="6"/>
      <c r="WN432" s="6"/>
      <c r="WO432" s="6"/>
      <c r="WP432" s="6"/>
      <c r="WQ432" s="6"/>
      <c r="WR432" s="6"/>
      <c r="WS432" s="6"/>
      <c r="WT432" s="6"/>
      <c r="WU432" s="6"/>
      <c r="WV432" s="6"/>
      <c r="WW432" s="6"/>
      <c r="WX432" s="6"/>
      <c r="WY432" s="6"/>
      <c r="WZ432" s="6"/>
      <c r="XA432" s="6"/>
      <c r="XB432" s="6"/>
      <c r="XC432" s="6"/>
      <c r="XD432" s="6"/>
      <c r="XE432" s="6"/>
      <c r="XF432" s="6"/>
      <c r="XG432" s="6"/>
      <c r="XH432" s="6"/>
      <c r="XI432" s="6"/>
      <c r="XJ432" s="6"/>
      <c r="XK432" s="6"/>
      <c r="XL432" s="6"/>
      <c r="XM432" s="6"/>
      <c r="XN432" s="6"/>
      <c r="XO432" s="6"/>
      <c r="XP432" s="6"/>
      <c r="XQ432" s="6"/>
      <c r="XR432" s="6"/>
      <c r="XS432" s="6"/>
      <c r="XT432" s="6"/>
      <c r="XU432" s="6"/>
      <c r="XV432" s="6"/>
      <c r="XW432" s="6"/>
      <c r="XX432" s="6"/>
      <c r="XY432" s="6"/>
      <c r="XZ432" s="6"/>
      <c r="YA432" s="6"/>
      <c r="YB432" s="6"/>
      <c r="YC432" s="6"/>
      <c r="YD432" s="6"/>
      <c r="YE432" s="6"/>
      <c r="YF432" s="6"/>
      <c r="YG432" s="6"/>
      <c r="YH432" s="6"/>
      <c r="YI432" s="6"/>
      <c r="YJ432" s="6"/>
      <c r="YK432" s="6"/>
      <c r="YL432" s="6"/>
      <c r="YM432" s="6"/>
      <c r="YN432" s="6"/>
      <c r="YO432" s="6"/>
      <c r="YP432" s="6"/>
      <c r="YQ432" s="6"/>
      <c r="YR432" s="6"/>
      <c r="YS432" s="6"/>
      <c r="YT432" s="6"/>
      <c r="YU432" s="6"/>
      <c r="YV432" s="6"/>
      <c r="YW432" s="6"/>
      <c r="YX432" s="6"/>
      <c r="YY432" s="6"/>
      <c r="YZ432" s="6"/>
      <c r="ZA432" s="6"/>
      <c r="ZB432" s="6"/>
      <c r="ZC432" s="6"/>
      <c r="ZD432" s="6"/>
      <c r="ZE432" s="6"/>
      <c r="ZF432" s="6"/>
      <c r="ZG432" s="6"/>
      <c r="ZH432" s="6"/>
      <c r="ZI432" s="6"/>
      <c r="ZJ432" s="6"/>
      <c r="ZK432" s="6"/>
      <c r="ZL432" s="6"/>
      <c r="ZM432" s="6"/>
      <c r="ZN432" s="6"/>
      <c r="ZO432" s="6"/>
      <c r="ZP432" s="6"/>
      <c r="ZQ432" s="6"/>
      <c r="ZR432" s="6"/>
      <c r="ZS432" s="6"/>
      <c r="ZT432" s="6"/>
      <c r="ZU432" s="6"/>
      <c r="ZV432" s="6"/>
      <c r="ZW432" s="6"/>
      <c r="ZX432" s="6"/>
      <c r="ZY432" s="6"/>
      <c r="ZZ432" s="6"/>
      <c r="AAA432" s="6"/>
      <c r="AAB432" s="6"/>
      <c r="AAC432" s="6"/>
      <c r="AAD432" s="6"/>
      <c r="AAE432" s="6"/>
      <c r="AAF432" s="6"/>
      <c r="AAG432" s="6"/>
      <c r="AAH432" s="6"/>
      <c r="AAI432" s="6"/>
      <c r="AAJ432" s="6"/>
      <c r="AAK432" s="6"/>
      <c r="AAL432" s="6"/>
      <c r="AAM432" s="6"/>
      <c r="AAN432" s="6"/>
      <c r="AAO432" s="6"/>
      <c r="AAP432" s="6"/>
      <c r="AAQ432" s="6"/>
      <c r="AAR432" s="6"/>
      <c r="AAS432" s="6"/>
      <c r="AAT432" s="6"/>
      <c r="AAU432" s="6"/>
      <c r="AAV432" s="6"/>
      <c r="AAW432" s="6"/>
      <c r="AAX432" s="6"/>
      <c r="AAY432" s="6"/>
      <c r="AAZ432" s="6"/>
      <c r="ABA432" s="6"/>
      <c r="ABB432" s="6"/>
      <c r="ABC432" s="6"/>
      <c r="ABD432" s="6"/>
      <c r="ABE432" s="6"/>
      <c r="ABF432" s="6"/>
      <c r="ABG432" s="6"/>
      <c r="ABH432" s="6"/>
      <c r="ABI432" s="6"/>
      <c r="ABJ432" s="6"/>
      <c r="ABK432" s="6"/>
      <c r="ABL432" s="6"/>
      <c r="ABM432" s="6"/>
      <c r="ABN432" s="6"/>
      <c r="ABO432" s="6"/>
      <c r="ABP432" s="6"/>
      <c r="ABQ432" s="6"/>
      <c r="ABR432" s="6"/>
      <c r="ABS432" s="6"/>
      <c r="ABT432" s="6"/>
      <c r="ABU432" s="6"/>
      <c r="ABV432" s="6"/>
      <c r="ABW432" s="6"/>
      <c r="ABX432" s="6"/>
      <c r="ABY432" s="6"/>
      <c r="ABZ432" s="6"/>
      <c r="ACA432" s="6"/>
      <c r="ACB432" s="6"/>
      <c r="ACC432" s="6"/>
      <c r="ACD432" s="6"/>
      <c r="ACE432" s="6"/>
      <c r="ACF432" s="6"/>
      <c r="ACG432" s="6"/>
      <c r="ACH432" s="6"/>
      <c r="ACI432" s="6"/>
      <c r="ACJ432" s="6"/>
      <c r="ACK432" s="6"/>
      <c r="ACL432" s="6"/>
      <c r="ACM432" s="6"/>
      <c r="ACN432" s="6"/>
      <c r="ACO432" s="6"/>
      <c r="ACP432" s="6"/>
      <c r="ACQ432" s="6"/>
      <c r="ACR432" s="6"/>
      <c r="ACS432" s="6"/>
      <c r="ACT432" s="6"/>
      <c r="ACU432" s="6"/>
      <c r="ACV432" s="6"/>
      <c r="ACW432" s="6"/>
      <c r="ACX432" s="6"/>
      <c r="ACY432" s="6"/>
      <c r="ACZ432" s="6"/>
      <c r="ADA432" s="6"/>
      <c r="ADB432" s="6"/>
      <c r="ADC432" s="6"/>
      <c r="ADD432" s="6"/>
      <c r="ADE432" s="6"/>
      <c r="ADF432" s="6"/>
      <c r="ADG432" s="6"/>
      <c r="ADH432" s="6"/>
      <c r="ADI432" s="6"/>
      <c r="ADJ432" s="6"/>
      <c r="ADK432" s="6"/>
      <c r="ADL432" s="6"/>
      <c r="ADM432" s="6"/>
      <c r="ADN432" s="6"/>
      <c r="ADO432" s="6"/>
      <c r="ADP432" s="6"/>
      <c r="ADQ432" s="6"/>
      <c r="ADR432" s="6"/>
      <c r="ADS432" s="6"/>
      <c r="ADT432" s="6"/>
      <c r="ADU432" s="6"/>
      <c r="ADV432" s="6"/>
      <c r="ADW432" s="6"/>
      <c r="ADX432" s="6"/>
      <c r="ADY432" s="6"/>
      <c r="ADZ432" s="6"/>
      <c r="AEA432" s="6"/>
      <c r="AEB432" s="6"/>
      <c r="AEC432" s="6"/>
      <c r="AED432" s="6"/>
      <c r="AEE432" s="6"/>
      <c r="AEF432" s="6"/>
      <c r="AEG432" s="6"/>
      <c r="AEH432" s="6"/>
      <c r="AEI432" s="6"/>
      <c r="AEJ432" s="6"/>
      <c r="AEK432" s="6"/>
      <c r="AEL432" s="6"/>
      <c r="AEM432" s="6"/>
      <c r="AEN432" s="6"/>
      <c r="AEO432" s="6"/>
      <c r="AEP432" s="6"/>
      <c r="AEQ432" s="6"/>
      <c r="AER432" s="6"/>
      <c r="AES432" s="6"/>
      <c r="AET432" s="6"/>
      <c r="AEU432" s="6"/>
      <c r="AEV432" s="6"/>
      <c r="AEW432" s="6"/>
      <c r="AEX432" s="6"/>
      <c r="AEY432" s="6"/>
      <c r="AEZ432" s="6"/>
      <c r="AFA432" s="6"/>
      <c r="AFB432" s="6"/>
      <c r="AFC432" s="6"/>
      <c r="AFD432" s="6"/>
      <c r="AFE432" s="6"/>
      <c r="AFF432" s="6"/>
      <c r="AFG432" s="6"/>
      <c r="AFH432" s="6"/>
      <c r="AFI432" s="6"/>
      <c r="AFJ432" s="6"/>
      <c r="AFK432" s="6"/>
      <c r="AFL432" s="6"/>
      <c r="AFM432" s="6"/>
      <c r="AFN432" s="6"/>
      <c r="AFO432" s="6"/>
      <c r="AFP432" s="6"/>
      <c r="AFQ432" s="6"/>
      <c r="AFR432" s="6"/>
      <c r="AFS432" s="6"/>
      <c r="AFT432" s="6"/>
      <c r="AFU432" s="6"/>
      <c r="AFV432" s="6"/>
      <c r="AFW432" s="6"/>
      <c r="AFX432" s="6"/>
      <c r="AFY432" s="6"/>
      <c r="AFZ432" s="6"/>
      <c r="AGA432" s="6"/>
      <c r="AGB432" s="6"/>
      <c r="AGC432" s="6"/>
      <c r="AGD432" s="6"/>
      <c r="AGE432" s="6"/>
      <c r="AGF432" s="6"/>
      <c r="AGG432" s="6"/>
      <c r="AGH432" s="6"/>
      <c r="AGI432" s="6"/>
      <c r="AGJ432" s="6"/>
      <c r="AGK432" s="6"/>
      <c r="AGL432" s="6"/>
      <c r="AGM432" s="6"/>
      <c r="AGN432" s="6"/>
      <c r="AGO432" s="6"/>
      <c r="AGP432" s="6"/>
      <c r="AGQ432" s="6"/>
      <c r="AGR432" s="6"/>
      <c r="AGS432" s="6"/>
      <c r="AGT432" s="6"/>
      <c r="AGU432" s="6"/>
      <c r="AGV432" s="6"/>
      <c r="AGW432" s="6"/>
      <c r="AGX432" s="6"/>
      <c r="AGY432" s="6"/>
      <c r="AGZ432" s="6"/>
      <c r="AHA432" s="6"/>
      <c r="AHB432" s="6"/>
      <c r="AHC432" s="6"/>
      <c r="AHD432" s="6"/>
      <c r="AHE432" s="6"/>
      <c r="AHF432" s="6"/>
      <c r="AHG432" s="6"/>
      <c r="AHH432" s="6"/>
      <c r="AHI432" s="6"/>
      <c r="AHJ432" s="6"/>
      <c r="AHK432" s="6"/>
      <c r="AHL432" s="6"/>
      <c r="AHM432" s="6"/>
      <c r="AHN432" s="6"/>
      <c r="AHO432" s="6"/>
      <c r="AHP432" s="6"/>
      <c r="AHQ432" s="6"/>
      <c r="AHR432" s="6"/>
      <c r="AHS432" s="6"/>
      <c r="AHT432" s="6"/>
      <c r="AHU432" s="6"/>
      <c r="AHV432" s="6"/>
      <c r="AHW432" s="6"/>
      <c r="AHX432" s="6"/>
      <c r="AHY432" s="6"/>
      <c r="AHZ432" s="6"/>
      <c r="AIA432" s="6"/>
      <c r="AIB432" s="6"/>
      <c r="AIC432" s="6"/>
      <c r="AID432" s="6"/>
      <c r="AIE432" s="6"/>
      <c r="AIF432" s="6"/>
      <c r="AIG432" s="6"/>
      <c r="AIH432" s="6"/>
      <c r="AII432" s="6"/>
      <c r="AIJ432" s="6"/>
      <c r="AIK432" s="6"/>
      <c r="AIL432" s="6"/>
      <c r="AIM432" s="6"/>
      <c r="AIN432" s="6"/>
      <c r="AIO432" s="6"/>
      <c r="AIP432" s="6"/>
      <c r="AIQ432" s="6"/>
      <c r="AIR432" s="6"/>
      <c r="AIS432" s="6"/>
      <c r="AIT432" s="6"/>
      <c r="AIU432" s="6"/>
      <c r="AIV432" s="6"/>
      <c r="AIW432" s="6"/>
      <c r="AIX432" s="6"/>
      <c r="AIY432" s="6"/>
      <c r="AIZ432" s="6"/>
      <c r="AJA432" s="6"/>
      <c r="AJB432" s="6"/>
      <c r="AJC432" s="6"/>
      <c r="AJD432" s="6"/>
      <c r="AJE432" s="6"/>
      <c r="AJF432" s="6"/>
      <c r="AJG432" s="6"/>
      <c r="AJH432" s="6"/>
      <c r="AJI432" s="6"/>
      <c r="AJJ432" s="6"/>
      <c r="AJK432" s="6"/>
      <c r="AJL432" s="6"/>
      <c r="AJM432" s="6"/>
      <c r="AJN432" s="6"/>
      <c r="AJO432" s="6"/>
      <c r="AJP432" s="6"/>
      <c r="AJQ432" s="6"/>
      <c r="AJR432" s="6"/>
      <c r="AJS432" s="6"/>
      <c r="AJT432" s="6"/>
      <c r="AJU432" s="6"/>
      <c r="AJV432" s="6"/>
      <c r="AJW432" s="6"/>
      <c r="AJX432" s="6"/>
      <c r="AJY432" s="6"/>
      <c r="AJZ432" s="6"/>
      <c r="AKA432" s="6"/>
      <c r="AKB432" s="6"/>
      <c r="AKC432" s="6"/>
      <c r="AKD432" s="6"/>
      <c r="AKE432" s="6"/>
      <c r="AKF432" s="6"/>
      <c r="AKG432" s="6"/>
      <c r="AKH432" s="6"/>
      <c r="AKI432" s="6"/>
      <c r="AKJ432" s="6"/>
      <c r="AKK432" s="6"/>
      <c r="AKL432" s="6"/>
      <c r="AKM432" s="6"/>
      <c r="AKN432" s="6"/>
      <c r="AKO432" s="6"/>
      <c r="AKP432" s="6"/>
      <c r="AKQ432" s="6"/>
      <c r="AKR432" s="6"/>
      <c r="AKS432" s="6"/>
      <c r="AKT432" s="6"/>
      <c r="AKU432" s="6"/>
      <c r="AKV432" s="6"/>
      <c r="AKW432" s="6"/>
      <c r="AKX432" s="6"/>
      <c r="AKY432" s="6"/>
      <c r="AKZ432" s="6"/>
      <c r="ALA432" s="6"/>
      <c r="ALB432" s="6"/>
      <c r="ALC432" s="6"/>
      <c r="ALD432" s="6"/>
      <c r="ALE432" s="6"/>
      <c r="ALF432" s="6"/>
      <c r="ALG432" s="6"/>
      <c r="ALH432" s="6"/>
      <c r="ALI432" s="6"/>
      <c r="ALJ432" s="6"/>
      <c r="ALK432" s="6"/>
      <c r="ALL432" s="6"/>
      <c r="ALM432" s="6"/>
      <c r="ALN432" s="6"/>
      <c r="ALO432" s="6"/>
      <c r="ALP432" s="6"/>
      <c r="ALQ432" s="6"/>
      <c r="ALR432" s="6"/>
      <c r="ALS432" s="6"/>
      <c r="ALT432" s="6"/>
      <c r="ALU432" s="6"/>
      <c r="ALV432" s="6"/>
      <c r="ALW432" s="6"/>
      <c r="ALX432" s="6"/>
      <c r="ALY432" s="6"/>
      <c r="ALZ432" s="6"/>
      <c r="AMA432" s="6"/>
      <c r="AMB432" s="6"/>
      <c r="AMC432" s="6"/>
      <c r="AMD432" s="6"/>
      <c r="AME432" s="6"/>
      <c r="AMF432" s="6"/>
      <c r="AMG432" s="6"/>
      <c r="AMH432" s="6"/>
      <c r="AMI432" s="6"/>
      <c r="AMJ432" s="6"/>
      <c r="AMK432" s="6"/>
      <c r="AML432" s="6"/>
      <c r="AMM432" s="6"/>
      <c r="AMN432" s="6"/>
      <c r="AMO432" s="6"/>
      <c r="AMP432" s="6"/>
    </row>
    <row r="433" spans="1:1029" x14ac:dyDescent="0.2">
      <c r="A433" s="3" t="str">
        <f t="shared" si="2960"/>
        <v>crfr1_human__wt</v>
      </c>
      <c r="B433" s="3" t="s">
        <v>38</v>
      </c>
      <c r="C433" s="3" t="s">
        <v>100</v>
      </c>
      <c r="D433" s="3" t="str">
        <f>IFERROR(MID(VLOOKUP($B433,Seqs!$A:$B,2,0),E433,1),"")</f>
        <v>Q</v>
      </c>
      <c r="E433" s="3">
        <v>103</v>
      </c>
      <c r="F433" s="3" t="str">
        <f>IFERROR(MID(VLOOKUP($B433,Seqs!$A:$B,2,0),G433,1),"")</f>
        <v>L</v>
      </c>
      <c r="G433" s="3">
        <v>144</v>
      </c>
      <c r="H433" s="3" t="str">
        <f>IFERROR(MID(VLOOKUP($B433,Seqs!$A:$B,2,0),I433,1),"")</f>
        <v>R</v>
      </c>
      <c r="I433" s="23">
        <v>145</v>
      </c>
      <c r="J433" s="3" t="str">
        <f>IFERROR(MID(VLOOKUP($B433,Seqs!$A:$B,2,0),K433,1),"")</f>
        <v>R</v>
      </c>
      <c r="K433" s="23">
        <v>148</v>
      </c>
      <c r="L433" s="3" t="str">
        <f>IFERROR(MID(VLOOKUP($B433,Seqs!$A:$B,2,0),M433,1),"")</f>
        <v>C</v>
      </c>
      <c r="M433" s="23">
        <v>149</v>
      </c>
      <c r="N433" s="3" t="str">
        <f>IFERROR(MID(VLOOKUP($B433,Seqs!$A:$B,2,0),O433,1),"")</f>
        <v>T</v>
      </c>
      <c r="O433" s="3">
        <v>175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V</v>
      </c>
      <c r="U433" s="3">
        <v>185</v>
      </c>
      <c r="V433" s="3" t="str">
        <f>IFERROR(MID(VLOOKUP($B433,Seqs!$A:$B,2,0),W433,1),"")</f>
        <v>L</v>
      </c>
      <c r="W433" s="3">
        <v>219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L</v>
      </c>
      <c r="AC433" s="3">
        <v>226</v>
      </c>
      <c r="AD433" s="3" t="str">
        <f>IFERROR(MID(VLOOKUP($B433,Seqs!$A:$B,2,0),AE433,1),"")</f>
        <v>D</v>
      </c>
      <c r="AE433" s="3">
        <v>254</v>
      </c>
      <c r="AF433" s="3" t="str">
        <f>IFERROR(MID(VLOOKUP($B433,Seqs!$A:$B,2,0),AG433,1),"")</f>
        <v>C</v>
      </c>
      <c r="AG433" s="3">
        <v>258</v>
      </c>
      <c r="AH433" s="3" t="str">
        <f>IFERROR(MID(VLOOKUP($B433,Seqs!$A:$B,2,0),AI433,1),"")</f>
        <v>F</v>
      </c>
      <c r="AI433" s="3">
        <v>260</v>
      </c>
      <c r="AJ433" s="3" t="str">
        <f>IFERROR(MID(VLOOKUP($B433,Seqs!$A:$B,2,0),AK433,1),"")</f>
        <v>T</v>
      </c>
      <c r="AK433" s="3">
        <v>268</v>
      </c>
      <c r="AL433" s="3" t="str">
        <f>IFERROR(MID(VLOOKUP($B433,Seqs!$A:$B,2,0),AM433,1),"")</f>
        <v>L</v>
      </c>
      <c r="AM433" s="3">
        <v>298</v>
      </c>
      <c r="AN433" s="3" t="str">
        <f>IFERROR(MID(VLOOKUP($B433,Seqs!$A:$B,2,0),AO433,1),"")</f>
        <v>S</v>
      </c>
      <c r="AO433" s="3">
        <v>304</v>
      </c>
      <c r="AP433" s="3" t="str">
        <f>IFERROR(MID(VLOOKUP($B433,Seqs!$A:$B,2,0),AQ433,1),"")</f>
        <v>V</v>
      </c>
      <c r="AQ433" s="3">
        <v>332</v>
      </c>
      <c r="AR433" s="3" t="str">
        <f>IFERROR(MID(VLOOKUP($B433,Seqs!$A:$B,2,0),AS433,1),"")</f>
        <v>E</v>
      </c>
      <c r="AS433" s="3">
        <v>338</v>
      </c>
      <c r="AT433" s="3" t="str">
        <f>IFERROR(MID(VLOOKUP($B433,Seqs!$A:$B,2,0),AU433,1),"")</f>
        <v>L</v>
      </c>
      <c r="AU433" s="3">
        <v>366</v>
      </c>
      <c r="AV433" s="3" t="str">
        <f>IFERROR(MID(VLOOKUP($B433,Seqs!$A:$B,2,0),AW433,1),"")</f>
        <v>N</v>
      </c>
      <c r="AW433" s="3">
        <v>367</v>
      </c>
      <c r="AX433" s="3" t="str">
        <f>IFERROR(MID(VLOOKUP($B433,Seqs!$A:$B,2,0),AY433,1),"")</f>
        <v>A</v>
      </c>
      <c r="AY433" s="3">
        <v>392</v>
      </c>
      <c r="AZ433" s="77" t="str">
        <f>VLOOKUP(B433,Classification!A:D,2,0)</f>
        <v>B1</v>
      </c>
      <c r="BA433" s="94" t="str">
        <f>VLOOKUP(B433,Classification!A:D,4,0)</f>
        <v>Corticotropin-releasingfact</v>
      </c>
      <c r="BB433" s="27" t="b">
        <f t="shared" si="2961"/>
        <v>1</v>
      </c>
      <c r="BC433" s="23">
        <f t="shared" ref="BC433:BC509" si="4108">_xlfn.AGGREGATE(9,6,CH433:CS433)-_xlfn.AGGREGATE(9,6,BV433:CG433)+12</f>
        <v>257</v>
      </c>
      <c r="BD433" s="56" t="s">
        <v>23</v>
      </c>
      <c r="BE433" s="3" t="s">
        <v>23</v>
      </c>
      <c r="BF433" s="118" t="s">
        <v>23</v>
      </c>
      <c r="BG433" s="49" t="s">
        <v>1368</v>
      </c>
      <c r="BH433" s="49" t="s">
        <v>1373</v>
      </c>
      <c r="BI433" s="1"/>
      <c r="BJ433" s="70" t="s">
        <v>1283</v>
      </c>
      <c r="BK433" s="57" t="s">
        <v>1283</v>
      </c>
      <c r="BL433" s="57" t="s">
        <v>1283</v>
      </c>
      <c r="BM433" s="57" t="s">
        <v>1283</v>
      </c>
      <c r="BN433" s="57" t="s">
        <v>1283</v>
      </c>
      <c r="BO433" s="57" t="s">
        <v>1283</v>
      </c>
      <c r="BP433" s="57" t="s">
        <v>1283</v>
      </c>
      <c r="BQ433" s="57" t="s">
        <v>1283</v>
      </c>
      <c r="BR433" s="57" t="s">
        <v>1283</v>
      </c>
      <c r="BS433" s="57" t="s">
        <v>1283</v>
      </c>
      <c r="BT433" s="57" t="s">
        <v>1283</v>
      </c>
      <c r="BU433" s="57" t="s">
        <v>1283</v>
      </c>
      <c r="BV433" s="70">
        <f t="shared" ref="BV433:BV509" si="4109">E433</f>
        <v>103</v>
      </c>
      <c r="BW433" s="71">
        <f t="shared" ref="BW433:BW509" si="4110">I433</f>
        <v>145</v>
      </c>
      <c r="BX433" s="72">
        <f t="shared" ref="BX433:BX509" si="4111">M433</f>
        <v>149</v>
      </c>
      <c r="BY433" s="71" t="str">
        <f t="shared" ref="BY433:BY509" si="4112">Q433</f>
        <v>-</v>
      </c>
      <c r="BZ433" s="72">
        <f t="shared" ref="BZ433:BZ509" si="4113">U433</f>
        <v>185</v>
      </c>
      <c r="CA433" s="71" t="str">
        <f t="shared" ref="CA433:CA509" si="4114">Y433</f>
        <v>-</v>
      </c>
      <c r="CB433" s="72">
        <f t="shared" ref="CB433:CB509" si="4115">AC433</f>
        <v>226</v>
      </c>
      <c r="CC433" s="71">
        <f t="shared" ref="CC433:CC509" si="4116">AG433</f>
        <v>258</v>
      </c>
      <c r="CD433" s="72">
        <f t="shared" ref="CD433:CD509" si="4117">AK433</f>
        <v>268</v>
      </c>
      <c r="CE433" s="71">
        <f t="shared" ref="CE433:CE509" si="4118">AO433</f>
        <v>304</v>
      </c>
      <c r="CF433" s="72">
        <f t="shared" ref="CF433:CF509" si="4119">AS433</f>
        <v>338</v>
      </c>
      <c r="CG433" s="71">
        <f t="shared" ref="CG433:CG509" si="4120">AW433</f>
        <v>367</v>
      </c>
      <c r="CH433" s="70">
        <f t="shared" ref="CH433:CH509" si="4121">G433</f>
        <v>144</v>
      </c>
      <c r="CI433" s="71">
        <f t="shared" ref="CI433:CI509" si="4122">K433</f>
        <v>148</v>
      </c>
      <c r="CJ433" s="72">
        <f t="shared" ref="CJ433:CJ509" si="4123">O433</f>
        <v>175</v>
      </c>
      <c r="CK433" s="72" t="str">
        <f t="shared" ref="CK433:CK509" si="4124">S433</f>
        <v>-</v>
      </c>
      <c r="CL433" s="72">
        <f t="shared" ref="CL433:CL509" si="4125">W433</f>
        <v>219</v>
      </c>
      <c r="CM433" s="72" t="str">
        <f t="shared" ref="CM433:CM509" si="4126">AA433</f>
        <v>-</v>
      </c>
      <c r="CN433" s="72">
        <f t="shared" ref="CN433:CN509" si="4127">AE433</f>
        <v>254</v>
      </c>
      <c r="CO433" s="72">
        <f t="shared" ref="CO433:CO509" si="4128">AI433</f>
        <v>260</v>
      </c>
      <c r="CP433" s="72">
        <f t="shared" ref="CP433:CP509" si="4129">AM433</f>
        <v>298</v>
      </c>
      <c r="CQ433" s="72">
        <f t="shared" ref="CQ433:CQ509" si="4130">AQ433</f>
        <v>332</v>
      </c>
      <c r="CR433" s="72">
        <f t="shared" ref="CR433:CR509" si="4131">AU433</f>
        <v>366</v>
      </c>
      <c r="CS433" s="72">
        <f t="shared" ref="CS433:CS509" si="4132">AY433</f>
        <v>392</v>
      </c>
      <c r="CT433" s="23">
        <f t="shared" ref="CT433:CT509" si="4133">M433-K433</f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29" x14ac:dyDescent="0.2">
      <c r="A434" s="3" t="str">
        <f t="shared" si="2960"/>
        <v>crfr1_human_4K5Y</v>
      </c>
      <c r="B434" s="3" t="s">
        <v>38</v>
      </c>
      <c r="C434" s="3" t="s">
        <v>95</v>
      </c>
      <c r="D434" s="3" t="str">
        <f>IFERROR(MID(VLOOKUP($B434,Seqs!$A:$B,2,0),E434,1),"")</f>
        <v>H</v>
      </c>
      <c r="E434" s="3">
        <v>117</v>
      </c>
      <c r="F434" s="3" t="str">
        <f>IFERROR(MID(VLOOKUP($B434,Seqs!$A:$B,2,0),G434,1),"")</f>
        <v>L</v>
      </c>
      <c r="G434" s="3">
        <v>144</v>
      </c>
      <c r="H434" s="3" t="str">
        <f>IFERROR(MID(VLOOKUP($B434,Seqs!$A:$B,2,0),I434,1),"")</f>
        <v>R</v>
      </c>
      <c r="I434" s="23">
        <v>145</v>
      </c>
      <c r="J434" s="3" t="str">
        <f>IFERROR(MID(VLOOKUP($B434,Seqs!$A:$B,2,0),K434,1),"")</f>
        <v>R</v>
      </c>
      <c r="K434" s="23">
        <v>148</v>
      </c>
      <c r="L434" s="3" t="str">
        <f>IFERROR(MID(VLOOKUP($B434,Seqs!$A:$B,2,0),M434,1),"")</f>
        <v>C</v>
      </c>
      <c r="M434" s="23">
        <v>149</v>
      </c>
      <c r="N434" s="3" t="str">
        <f>IFERROR(MID(VLOOKUP($B434,Seqs!$A:$B,2,0),O434,1),"")</f>
        <v>T</v>
      </c>
      <c r="O434" s="3">
        <v>175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V</v>
      </c>
      <c r="U434" s="3">
        <v>185</v>
      </c>
      <c r="V434" s="3" t="str">
        <f>IFERROR(MID(VLOOKUP($B434,Seqs!$A:$B,2,0),W434,1),"")</f>
        <v>L</v>
      </c>
      <c r="W434" s="3">
        <v>219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L</v>
      </c>
      <c r="AC434" s="9">
        <v>226</v>
      </c>
      <c r="AD434" s="3" t="str">
        <f>IFERROR(MID(VLOOKUP($B434,Seqs!$A:$B,2,0),AE434,1),"")</f>
        <v>D</v>
      </c>
      <c r="AE434" s="3">
        <v>254</v>
      </c>
      <c r="AF434" s="3" t="str">
        <f>IFERROR(MID(VLOOKUP($B434,Seqs!$A:$B,2,0),AG434,1),"")</f>
        <v>C</v>
      </c>
      <c r="AG434" s="3">
        <v>258</v>
      </c>
      <c r="AH434" s="3" t="str">
        <f>IFERROR(MID(VLOOKUP($B434,Seqs!$A:$B,2,0),AI434,1),"")</f>
        <v>F</v>
      </c>
      <c r="AI434" s="3">
        <v>260</v>
      </c>
      <c r="AJ434" s="3" t="str">
        <f>IFERROR(MID(VLOOKUP($B434,Seqs!$A:$B,2,0),AK434,1),"")</f>
        <v>T</v>
      </c>
      <c r="AK434" s="3">
        <v>268</v>
      </c>
      <c r="AL434" s="3" t="str">
        <f>IFERROR(MID(VLOOKUP($B434,Seqs!$A:$B,2,0),AM434,1),"")</f>
        <v>L</v>
      </c>
      <c r="AM434" s="3">
        <v>298</v>
      </c>
      <c r="AN434" s="3" t="str">
        <f>IFERROR(MID(VLOOKUP($B434,Seqs!$A:$B,2,0),AO434,1),"")</f>
        <v>S</v>
      </c>
      <c r="AO434" s="3">
        <v>304</v>
      </c>
      <c r="AP434" s="3" t="str">
        <f>IFERROR(MID(VLOOKUP($B434,Seqs!$A:$B,2,0),AQ434,1),"")</f>
        <v>V</v>
      </c>
      <c r="AQ434" s="3">
        <v>332</v>
      </c>
      <c r="AR434" s="3" t="str">
        <f>IFERROR(MID(VLOOKUP($B434,Seqs!$A:$B,2,0),AS434,1),"")</f>
        <v>E</v>
      </c>
      <c r="AS434" s="3">
        <v>338</v>
      </c>
      <c r="AT434" s="3" t="str">
        <f>IFERROR(MID(VLOOKUP($B434,Seqs!$A:$B,2,0),AU434,1),"")</f>
        <v>N</v>
      </c>
      <c r="AU434" s="3">
        <v>367</v>
      </c>
      <c r="AV434" s="3" t="str">
        <f>IFERROR(MID(VLOOKUP($B434,Seqs!$A:$B,2,0),AW434,1),"")</f>
        <v/>
      </c>
      <c r="AW434" s="3" t="s">
        <v>23</v>
      </c>
      <c r="AX434" s="3" t="str">
        <f>IFERROR(MID(VLOOKUP($B434,Seqs!$A:$B,2,0),AY434,1),"")</f>
        <v/>
      </c>
      <c r="AY434" s="3" t="s">
        <v>23</v>
      </c>
      <c r="AZ434" s="77" t="str">
        <f>VLOOKUP(B434,Classification!A:D,2,0)</f>
        <v>B1</v>
      </c>
      <c r="BA434" s="94" t="str">
        <f>VLOOKUP(B434,Classification!A:D,4,0)</f>
        <v>Corticotropin-releasingfact</v>
      </c>
      <c r="BB434" s="27" t="b">
        <f t="shared" si="2961"/>
        <v>1</v>
      </c>
      <c r="BC434" s="23">
        <f t="shared" si="4108"/>
        <v>219</v>
      </c>
      <c r="BD434" s="4" t="s">
        <v>23</v>
      </c>
      <c r="BE434" s="3" t="s">
        <v>1370</v>
      </c>
      <c r="BF434" s="118">
        <v>2.98</v>
      </c>
      <c r="BG434" s="49" t="s">
        <v>1373</v>
      </c>
      <c r="BH434" s="49" t="s">
        <v>1373</v>
      </c>
      <c r="BI434" s="1"/>
      <c r="BJ434" s="70" t="s">
        <v>1283</v>
      </c>
      <c r="BK434" s="57" t="s">
        <v>1283</v>
      </c>
      <c r="BL434" s="57" t="s">
        <v>1283</v>
      </c>
      <c r="BM434" s="57" t="s">
        <v>1283</v>
      </c>
      <c r="BN434" s="57" t="s">
        <v>1283</v>
      </c>
      <c r="BO434" s="57" t="s">
        <v>1283</v>
      </c>
      <c r="BP434" s="57" t="s">
        <v>1283</v>
      </c>
      <c r="BQ434" s="57" t="s">
        <v>1283</v>
      </c>
      <c r="BR434" s="57" t="s">
        <v>1283</v>
      </c>
      <c r="BS434" s="57" t="s">
        <v>1283</v>
      </c>
      <c r="BT434" s="57" t="s">
        <v>1283</v>
      </c>
      <c r="BU434" s="57" t="s">
        <v>1283</v>
      </c>
      <c r="BV434" s="70">
        <f t="shared" si="4109"/>
        <v>117</v>
      </c>
      <c r="BW434" s="71">
        <f t="shared" si="4110"/>
        <v>145</v>
      </c>
      <c r="BX434" s="72">
        <f t="shared" si="4111"/>
        <v>149</v>
      </c>
      <c r="BY434" s="71" t="str">
        <f t="shared" si="4112"/>
        <v>-</v>
      </c>
      <c r="BZ434" s="72">
        <f t="shared" si="4113"/>
        <v>185</v>
      </c>
      <c r="CA434" s="71" t="str">
        <f t="shared" si="4114"/>
        <v>-</v>
      </c>
      <c r="CB434" s="72">
        <f t="shared" si="4115"/>
        <v>226</v>
      </c>
      <c r="CC434" s="71">
        <f t="shared" si="4116"/>
        <v>258</v>
      </c>
      <c r="CD434" s="72">
        <f t="shared" si="4117"/>
        <v>268</v>
      </c>
      <c r="CE434" s="71">
        <f t="shared" si="4118"/>
        <v>304</v>
      </c>
      <c r="CF434" s="72">
        <f t="shared" si="4119"/>
        <v>338</v>
      </c>
      <c r="CG434" s="71" t="str">
        <f t="shared" si="4120"/>
        <v>-</v>
      </c>
      <c r="CH434" s="70">
        <f t="shared" si="4121"/>
        <v>144</v>
      </c>
      <c r="CI434" s="71">
        <f t="shared" si="4122"/>
        <v>148</v>
      </c>
      <c r="CJ434" s="72">
        <f t="shared" si="4123"/>
        <v>175</v>
      </c>
      <c r="CK434" s="72" t="str">
        <f t="shared" si="4124"/>
        <v>-</v>
      </c>
      <c r="CL434" s="72">
        <f t="shared" si="4125"/>
        <v>219</v>
      </c>
      <c r="CM434" s="72" t="str">
        <f t="shared" si="4126"/>
        <v>-</v>
      </c>
      <c r="CN434" s="72">
        <f t="shared" si="4127"/>
        <v>254</v>
      </c>
      <c r="CO434" s="72">
        <f t="shared" si="4128"/>
        <v>260</v>
      </c>
      <c r="CP434" s="72">
        <f t="shared" si="4129"/>
        <v>298</v>
      </c>
      <c r="CQ434" s="72">
        <f t="shared" si="4130"/>
        <v>332</v>
      </c>
      <c r="CR434" s="72">
        <f t="shared" si="4131"/>
        <v>367</v>
      </c>
      <c r="CS434" s="72" t="str">
        <f t="shared" si="4132"/>
        <v>-</v>
      </c>
      <c r="CT434" s="23">
        <f t="shared" si="4133"/>
        <v>1</v>
      </c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  <c r="AMO434" s="1"/>
    </row>
    <row r="435" spans="1:1029" x14ac:dyDescent="0.2">
      <c r="A435" s="3" t="str">
        <f>CONCATENATE(B435,"_",C435)</f>
        <v>crfr1_human_4K5Y_dist</v>
      </c>
      <c r="B435" s="3" t="s">
        <v>38</v>
      </c>
      <c r="C435" s="3" t="s">
        <v>1156</v>
      </c>
      <c r="D435" s="3" t="str">
        <f>IFERROR(MID(VLOOKUP($B435,Seqs!$A:$B,2,0),E435,1),"")</f>
        <v>H</v>
      </c>
      <c r="E435" s="3">
        <v>117</v>
      </c>
      <c r="F435" s="3" t="str">
        <f>IFERROR(MID(VLOOKUP($B435,Seqs!$A:$B,2,0),G435,1),"")</f>
        <v>L</v>
      </c>
      <c r="G435" s="3">
        <v>144</v>
      </c>
      <c r="H435" s="3" t="str">
        <f>IFERROR(MID(VLOOKUP($B435,Seqs!$A:$B,2,0),I435,1),"")</f>
        <v>R</v>
      </c>
      <c r="I435" s="23">
        <v>145</v>
      </c>
      <c r="J435" s="3" t="str">
        <f>IFERROR(MID(VLOOKUP($B435,Seqs!$A:$B,2,0),K435,1),"")</f>
        <v>R</v>
      </c>
      <c r="K435" s="23">
        <v>148</v>
      </c>
      <c r="L435" s="3" t="str">
        <f>IFERROR(MID(VLOOKUP($B435,Seqs!$A:$B,2,0),M435,1),"")</f>
        <v>C</v>
      </c>
      <c r="M435" s="23">
        <v>149</v>
      </c>
      <c r="N435" s="3" t="str">
        <f>IFERROR(MID(VLOOKUP($B435,Seqs!$A:$B,2,0),O435,1),"")</f>
        <v>T</v>
      </c>
      <c r="O435" s="3">
        <v>175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V</v>
      </c>
      <c r="U435" s="3">
        <v>185</v>
      </c>
      <c r="V435" s="3" t="str">
        <f>IFERROR(MID(VLOOKUP($B435,Seqs!$A:$B,2,0),W435,1),"")</f>
        <v>L</v>
      </c>
      <c r="W435" s="3">
        <v>219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L</v>
      </c>
      <c r="AC435" s="9">
        <v>226</v>
      </c>
      <c r="AD435" s="3" t="str">
        <f>IFERROR(MID(VLOOKUP($B435,Seqs!$A:$B,2,0),AE435,1),"")</f>
        <v>D</v>
      </c>
      <c r="AE435" s="3">
        <v>254</v>
      </c>
      <c r="AF435" s="3" t="str">
        <f>IFERROR(MID(VLOOKUP($B435,Seqs!$A:$B,2,0),AG435,1),"")</f>
        <v>C</v>
      </c>
      <c r="AG435" s="3">
        <v>258</v>
      </c>
      <c r="AH435" s="3" t="str">
        <f>IFERROR(MID(VLOOKUP($B435,Seqs!$A:$B,2,0),AI435,1),"")</f>
        <v>F</v>
      </c>
      <c r="AI435" s="3">
        <v>260</v>
      </c>
      <c r="AJ435" s="3" t="str">
        <f>IFERROR(MID(VLOOKUP($B435,Seqs!$A:$B,2,0),AK435,1),"")</f>
        <v>T</v>
      </c>
      <c r="AK435" s="3">
        <v>268</v>
      </c>
      <c r="AL435" s="3" t="str">
        <f>IFERROR(MID(VLOOKUP($B435,Seqs!$A:$B,2,0),AM435,1),"")</f>
        <v>L</v>
      </c>
      <c r="AM435" s="3">
        <v>298</v>
      </c>
      <c r="AN435" s="3" t="str">
        <f>IFERROR(MID(VLOOKUP($B435,Seqs!$A:$B,2,0),AO435,1),"")</f>
        <v>S</v>
      </c>
      <c r="AO435" s="3">
        <v>304</v>
      </c>
      <c r="AP435" s="3" t="str">
        <f>IFERROR(MID(VLOOKUP($B435,Seqs!$A:$B,2,0),AQ435,1),"")</f>
        <v>V</v>
      </c>
      <c r="AQ435" s="3">
        <v>332</v>
      </c>
      <c r="AR435" s="3" t="str">
        <f>IFERROR(MID(VLOOKUP($B435,Seqs!$A:$B,2,0),AS435,1),"")</f>
        <v>E</v>
      </c>
      <c r="AS435" s="3">
        <v>338</v>
      </c>
      <c r="AT435" s="3" t="str">
        <f>IFERROR(MID(VLOOKUP($B435,Seqs!$A:$B,2,0),AU435,1),"")</f>
        <v>L</v>
      </c>
      <c r="AU435" s="3">
        <v>366</v>
      </c>
      <c r="AV435" s="3" t="str">
        <f>IFERROR(MID(VLOOKUP($B435,Seqs!$A:$B,2,0),AW435,1),"")</f>
        <v/>
      </c>
      <c r="AW435" s="3" t="s">
        <v>23</v>
      </c>
      <c r="AX435" s="3" t="str">
        <f>IFERROR(MID(VLOOKUP($B435,Seqs!$A:$B,2,0),AY435,1),"")</f>
        <v/>
      </c>
      <c r="AY435" s="3" t="s">
        <v>23</v>
      </c>
      <c r="AZ435" s="77" t="str">
        <f>VLOOKUP(B435,Classification!A:D,2,0)</f>
        <v>B1</v>
      </c>
      <c r="BA435" s="94" t="str">
        <f>VLOOKUP(B435,Classification!A:D,4,0)</f>
        <v>Corticotropin-releasingfact</v>
      </c>
      <c r="BB435" s="27" t="b">
        <f t="shared" si="2961"/>
        <v>1</v>
      </c>
      <c r="BC435" s="23">
        <f t="shared" si="4108"/>
        <v>218</v>
      </c>
      <c r="BD435" s="56" t="s">
        <v>23</v>
      </c>
      <c r="BE435" s="3" t="s">
        <v>1370</v>
      </c>
      <c r="BF435" s="118">
        <v>2.98</v>
      </c>
      <c r="BG435" s="49" t="s">
        <v>1373</v>
      </c>
      <c r="BH435" s="49" t="s">
        <v>1373</v>
      </c>
      <c r="BI435" s="3" t="s">
        <v>1158</v>
      </c>
      <c r="BJ435" s="70" t="s">
        <v>1283</v>
      </c>
      <c r="BK435" s="57" t="s">
        <v>1283</v>
      </c>
      <c r="BL435" s="57" t="s">
        <v>1283</v>
      </c>
      <c r="BM435" s="57" t="s">
        <v>1283</v>
      </c>
      <c r="BN435" s="57" t="s">
        <v>1283</v>
      </c>
      <c r="BO435" s="57" t="s">
        <v>1283</v>
      </c>
      <c r="BP435" s="57" t="s">
        <v>1283</v>
      </c>
      <c r="BQ435" s="57" t="s">
        <v>1283</v>
      </c>
      <c r="BR435" s="57" t="s">
        <v>1283</v>
      </c>
      <c r="BS435" s="57" t="s">
        <v>1283</v>
      </c>
      <c r="BT435" s="57" t="s">
        <v>1283</v>
      </c>
      <c r="BU435" s="57" t="s">
        <v>1283</v>
      </c>
      <c r="BV435" s="70">
        <f t="shared" si="4109"/>
        <v>117</v>
      </c>
      <c r="BW435" s="71">
        <f t="shared" si="4110"/>
        <v>145</v>
      </c>
      <c r="BX435" s="72">
        <f t="shared" si="4111"/>
        <v>149</v>
      </c>
      <c r="BY435" s="71" t="str">
        <f t="shared" si="4112"/>
        <v>-</v>
      </c>
      <c r="BZ435" s="72">
        <f t="shared" si="4113"/>
        <v>185</v>
      </c>
      <c r="CA435" s="71" t="str">
        <f t="shared" si="4114"/>
        <v>-</v>
      </c>
      <c r="CB435" s="72">
        <f t="shared" si="4115"/>
        <v>226</v>
      </c>
      <c r="CC435" s="71">
        <f t="shared" si="4116"/>
        <v>258</v>
      </c>
      <c r="CD435" s="72">
        <f t="shared" si="4117"/>
        <v>268</v>
      </c>
      <c r="CE435" s="71">
        <f t="shared" si="4118"/>
        <v>304</v>
      </c>
      <c r="CF435" s="72">
        <f t="shared" si="4119"/>
        <v>338</v>
      </c>
      <c r="CG435" s="71" t="str">
        <f t="shared" si="4120"/>
        <v>-</v>
      </c>
      <c r="CH435" s="70">
        <f t="shared" si="4121"/>
        <v>144</v>
      </c>
      <c r="CI435" s="71">
        <f t="shared" si="4122"/>
        <v>148</v>
      </c>
      <c r="CJ435" s="72">
        <f t="shared" si="4123"/>
        <v>175</v>
      </c>
      <c r="CK435" s="72" t="str">
        <f t="shared" si="4124"/>
        <v>-</v>
      </c>
      <c r="CL435" s="72">
        <f t="shared" si="4125"/>
        <v>219</v>
      </c>
      <c r="CM435" s="72" t="str">
        <f t="shared" si="4126"/>
        <v>-</v>
      </c>
      <c r="CN435" s="72">
        <f t="shared" si="4127"/>
        <v>254</v>
      </c>
      <c r="CO435" s="72">
        <f t="shared" si="4128"/>
        <v>260</v>
      </c>
      <c r="CP435" s="72">
        <f t="shared" si="4129"/>
        <v>298</v>
      </c>
      <c r="CQ435" s="72">
        <f t="shared" si="4130"/>
        <v>332</v>
      </c>
      <c r="CR435" s="72">
        <f t="shared" si="4131"/>
        <v>366</v>
      </c>
      <c r="CS435" s="72" t="str">
        <f t="shared" si="4132"/>
        <v>-</v>
      </c>
      <c r="CT435" s="23">
        <f t="shared" si="4133"/>
        <v>1</v>
      </c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</row>
    <row r="436" spans="1:1029" x14ac:dyDescent="0.2">
      <c r="A436" s="3" t="str">
        <f t="shared" si="2960"/>
        <v>crfr1_human_4Z9G</v>
      </c>
      <c r="B436" s="3" t="s">
        <v>38</v>
      </c>
      <c r="C436" s="3" t="s">
        <v>1055</v>
      </c>
      <c r="D436" s="3" t="str">
        <f>IFERROR(MID(VLOOKUP($B436,Seqs!$A:$B,2,0),E436,1),"")</f>
        <v>S</v>
      </c>
      <c r="E436" s="3">
        <v>112</v>
      </c>
      <c r="F436" s="3" t="str">
        <f>IFERROR(MID(VLOOKUP($B436,Seqs!$A:$B,2,0),G436,1),"")</f>
        <v>L</v>
      </c>
      <c r="G436" s="3">
        <v>144</v>
      </c>
      <c r="H436" s="3" t="str">
        <f>IFERROR(MID(VLOOKUP($B436,Seqs!$A:$B,2,0),I436,1),"")</f>
        <v>R</v>
      </c>
      <c r="I436" s="23">
        <v>145</v>
      </c>
      <c r="J436" s="3" t="str">
        <f>IFERROR(MID(VLOOKUP($B436,Seqs!$A:$B,2,0),K436,1),"")</f>
        <v>R</v>
      </c>
      <c r="K436" s="23">
        <v>148</v>
      </c>
      <c r="L436" s="3" t="str">
        <f>IFERROR(MID(VLOOKUP($B436,Seqs!$A:$B,2,0),M436,1),"")</f>
        <v>C</v>
      </c>
      <c r="M436" s="23">
        <v>149</v>
      </c>
      <c r="N436" s="3" t="str">
        <f>IFERROR(MID(VLOOKUP($B436,Seqs!$A:$B,2,0),O436,1),"")</f>
        <v>T</v>
      </c>
      <c r="O436" s="3">
        <v>175</v>
      </c>
      <c r="P436" s="3" t="str">
        <f>IFERROR(MID(VLOOKUP($B436,Seqs!$A:$B,2,0),Q436,1),"")</f>
        <v/>
      </c>
      <c r="Q436" s="3" t="s">
        <v>23</v>
      </c>
      <c r="R436" s="3" t="str">
        <f>IFERROR(MID(VLOOKUP($B436,Seqs!$A:$B,2,0),S436,1),"")</f>
        <v/>
      </c>
      <c r="S436" s="3" t="s">
        <v>23</v>
      </c>
      <c r="T436" s="3" t="str">
        <f>IFERROR(MID(VLOOKUP($B436,Seqs!$A:$B,2,0),U436,1),"")</f>
        <v>V</v>
      </c>
      <c r="U436" s="3">
        <v>185</v>
      </c>
      <c r="V436" s="3" t="str">
        <f>IFERROR(MID(VLOOKUP($B436,Seqs!$A:$B,2,0),W436,1),"")</f>
        <v>L</v>
      </c>
      <c r="W436" s="3">
        <v>219</v>
      </c>
      <c r="X436" s="3" t="str">
        <f>IFERROR(MID(VLOOKUP($B436,Seqs!$A:$B,2,0),Y436,1),"")</f>
        <v/>
      </c>
      <c r="Y436" s="3" t="s">
        <v>23</v>
      </c>
      <c r="Z436" s="3" t="str">
        <f>IFERROR(MID(VLOOKUP($B436,Seqs!$A:$B,2,0),AA436,1),"")</f>
        <v/>
      </c>
      <c r="AA436" s="3" t="s">
        <v>23</v>
      </c>
      <c r="AB436" s="3" t="str">
        <f>IFERROR(MID(VLOOKUP($B436,Seqs!$A:$B,2,0),AC436,1),"")</f>
        <v>L</v>
      </c>
      <c r="AC436" s="9">
        <v>226</v>
      </c>
      <c r="AD436" s="3" t="str">
        <f>IFERROR(MID(VLOOKUP($B436,Seqs!$A:$B,2,0),AE436,1),"")</f>
        <v>D</v>
      </c>
      <c r="AE436" s="3">
        <v>254</v>
      </c>
      <c r="AF436" s="3" t="str">
        <f>IFERROR(MID(VLOOKUP($B436,Seqs!$A:$B,2,0),AG436,1),"")</f>
        <v>C</v>
      </c>
      <c r="AG436" s="3">
        <v>258</v>
      </c>
      <c r="AH436" s="3" t="str">
        <f>IFERROR(MID(VLOOKUP($B436,Seqs!$A:$B,2,0),AI436,1),"")</f>
        <v>F</v>
      </c>
      <c r="AI436" s="3">
        <v>260</v>
      </c>
      <c r="AJ436" s="3" t="str">
        <f>IFERROR(MID(VLOOKUP($B436,Seqs!$A:$B,2,0),AK436,1),"")</f>
        <v>T</v>
      </c>
      <c r="AK436" s="3">
        <v>268</v>
      </c>
      <c r="AL436" s="3" t="str">
        <f>IFERROR(MID(VLOOKUP($B436,Seqs!$A:$B,2,0),AM436,1),"")</f>
        <v>L</v>
      </c>
      <c r="AM436" s="3">
        <v>298</v>
      </c>
      <c r="AN436" s="3" t="str">
        <f>IFERROR(MID(VLOOKUP($B436,Seqs!$A:$B,2,0),AO436,1),"")</f>
        <v>S</v>
      </c>
      <c r="AO436" s="3">
        <v>304</v>
      </c>
      <c r="AP436" s="3" t="str">
        <f>IFERROR(MID(VLOOKUP($B436,Seqs!$A:$B,2,0),AQ436,1),"")</f>
        <v>V</v>
      </c>
      <c r="AQ436" s="3">
        <v>332</v>
      </c>
      <c r="AR436" s="3" t="str">
        <f>IFERROR(MID(VLOOKUP($B436,Seqs!$A:$B,2,0),AS436,1),"")</f>
        <v>V</v>
      </c>
      <c r="AS436" s="3">
        <v>339</v>
      </c>
      <c r="AT436" s="3" t="str">
        <f>IFERROR(MID(VLOOKUP($B436,Seqs!$A:$B,2,0),AU436,1),"")</f>
        <v>F</v>
      </c>
      <c r="AU436" s="3">
        <v>362</v>
      </c>
      <c r="AV436" s="3" t="str">
        <f>IFERROR(MID(VLOOKUP($B436,Seqs!$A:$B,2,0),AW436,1),"")</f>
        <v/>
      </c>
      <c r="AW436" s="3" t="s">
        <v>23</v>
      </c>
      <c r="AX436" s="3" t="str">
        <f>IFERROR(MID(VLOOKUP($B436,Seqs!$A:$B,2,0),AY436,1),"")</f>
        <v/>
      </c>
      <c r="AY436" s="3" t="s">
        <v>23</v>
      </c>
      <c r="AZ436" s="77" t="str">
        <f>VLOOKUP(B436,Classification!A:D,2,0)</f>
        <v>B1</v>
      </c>
      <c r="BA436" s="94" t="str">
        <f>VLOOKUP(B436,Classification!A:D,4,0)</f>
        <v>Corticotropin-releasingfact</v>
      </c>
      <c r="BB436" s="27" t="b">
        <f t="shared" si="2961"/>
        <v>1</v>
      </c>
      <c r="BC436" s="23">
        <f t="shared" si="4108"/>
        <v>218</v>
      </c>
      <c r="BD436" s="2" t="s">
        <v>1372</v>
      </c>
      <c r="BE436" s="3" t="s">
        <v>1370</v>
      </c>
      <c r="BF436" s="118">
        <v>3.18</v>
      </c>
      <c r="BG436" s="49" t="s">
        <v>1373</v>
      </c>
      <c r="BH436" s="49" t="s">
        <v>1373</v>
      </c>
      <c r="BI436" s="1"/>
      <c r="BJ436" s="70" t="s">
        <v>1283</v>
      </c>
      <c r="BK436" s="57" t="s">
        <v>1283</v>
      </c>
      <c r="BL436" s="57" t="s">
        <v>1283</v>
      </c>
      <c r="BM436" s="57" t="s">
        <v>1283</v>
      </c>
      <c r="BN436" s="57" t="s">
        <v>1283</v>
      </c>
      <c r="BO436" s="57" t="s">
        <v>1283</v>
      </c>
      <c r="BP436" s="57" t="s">
        <v>1283</v>
      </c>
      <c r="BQ436" s="57" t="s">
        <v>1283</v>
      </c>
      <c r="BR436" s="57" t="s">
        <v>1283</v>
      </c>
      <c r="BS436" s="57" t="s">
        <v>1283</v>
      </c>
      <c r="BT436" s="57" t="s">
        <v>1283</v>
      </c>
      <c r="BU436" s="57" t="s">
        <v>1283</v>
      </c>
      <c r="BV436" s="70">
        <f t="shared" si="4109"/>
        <v>112</v>
      </c>
      <c r="BW436" s="71">
        <f t="shared" si="4110"/>
        <v>145</v>
      </c>
      <c r="BX436" s="72">
        <f t="shared" si="4111"/>
        <v>149</v>
      </c>
      <c r="BY436" s="71" t="str">
        <f t="shared" si="4112"/>
        <v>-</v>
      </c>
      <c r="BZ436" s="72">
        <f t="shared" si="4113"/>
        <v>185</v>
      </c>
      <c r="CA436" s="71" t="str">
        <f t="shared" si="4114"/>
        <v>-</v>
      </c>
      <c r="CB436" s="72">
        <f t="shared" si="4115"/>
        <v>226</v>
      </c>
      <c r="CC436" s="71">
        <f t="shared" si="4116"/>
        <v>258</v>
      </c>
      <c r="CD436" s="72">
        <f t="shared" si="4117"/>
        <v>268</v>
      </c>
      <c r="CE436" s="71">
        <f t="shared" si="4118"/>
        <v>304</v>
      </c>
      <c r="CF436" s="72">
        <f t="shared" si="4119"/>
        <v>339</v>
      </c>
      <c r="CG436" s="71" t="str">
        <f t="shared" si="4120"/>
        <v>-</v>
      </c>
      <c r="CH436" s="70">
        <f t="shared" si="4121"/>
        <v>144</v>
      </c>
      <c r="CI436" s="71">
        <f t="shared" si="4122"/>
        <v>148</v>
      </c>
      <c r="CJ436" s="72">
        <f t="shared" si="4123"/>
        <v>175</v>
      </c>
      <c r="CK436" s="72" t="str">
        <f t="shared" si="4124"/>
        <v>-</v>
      </c>
      <c r="CL436" s="72">
        <f t="shared" si="4125"/>
        <v>219</v>
      </c>
      <c r="CM436" s="72" t="str">
        <f t="shared" si="4126"/>
        <v>-</v>
      </c>
      <c r="CN436" s="72">
        <f t="shared" si="4127"/>
        <v>254</v>
      </c>
      <c r="CO436" s="72">
        <f t="shared" si="4128"/>
        <v>260</v>
      </c>
      <c r="CP436" s="72">
        <f t="shared" si="4129"/>
        <v>298</v>
      </c>
      <c r="CQ436" s="72">
        <f t="shared" si="4130"/>
        <v>332</v>
      </c>
      <c r="CR436" s="72">
        <f t="shared" si="4131"/>
        <v>362</v>
      </c>
      <c r="CS436" s="72" t="str">
        <f t="shared" si="4132"/>
        <v>-</v>
      </c>
      <c r="CT436" s="23">
        <f t="shared" si="4133"/>
        <v>1</v>
      </c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</row>
    <row r="437" spans="1:1029" x14ac:dyDescent="0.2">
      <c r="A437" s="3" t="str">
        <f t="shared" si="2960"/>
        <v>crfr1_human_4Z9G_dist</v>
      </c>
      <c r="B437" s="3" t="s">
        <v>38</v>
      </c>
      <c r="C437" s="3" t="s">
        <v>1157</v>
      </c>
      <c r="D437" s="3" t="str">
        <f>IFERROR(MID(VLOOKUP($B437,Seqs!$A:$B,2,0),E437,1),"")</f>
        <v>S</v>
      </c>
      <c r="E437" s="3">
        <v>112</v>
      </c>
      <c r="F437" s="3" t="str">
        <f>IFERROR(MID(VLOOKUP($B437,Seqs!$A:$B,2,0),G437,1),"")</f>
        <v>L</v>
      </c>
      <c r="G437" s="3">
        <v>144</v>
      </c>
      <c r="H437" s="3" t="str">
        <f>IFERROR(MID(VLOOKUP($B437,Seqs!$A:$B,2,0),I437,1),"")</f>
        <v>R</v>
      </c>
      <c r="I437" s="23">
        <v>145</v>
      </c>
      <c r="J437" s="3" t="str">
        <f>IFERROR(MID(VLOOKUP($B437,Seqs!$A:$B,2,0),K437,1),"")</f>
        <v>R</v>
      </c>
      <c r="K437" s="23">
        <v>148</v>
      </c>
      <c r="L437" s="3" t="str">
        <f>IFERROR(MID(VLOOKUP($B437,Seqs!$A:$B,2,0),M437,1),"")</f>
        <v>C</v>
      </c>
      <c r="M437" s="23">
        <v>149</v>
      </c>
      <c r="N437" s="3" t="str">
        <f>IFERROR(MID(VLOOKUP($B437,Seqs!$A:$B,2,0),O437,1),"")</f>
        <v>T</v>
      </c>
      <c r="O437" s="3">
        <v>175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V</v>
      </c>
      <c r="U437" s="3">
        <v>185</v>
      </c>
      <c r="V437" s="3" t="str">
        <f>IFERROR(MID(VLOOKUP($B437,Seqs!$A:$B,2,0),W437,1),"")</f>
        <v>L</v>
      </c>
      <c r="W437" s="3">
        <v>219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L</v>
      </c>
      <c r="AC437" s="9">
        <v>226</v>
      </c>
      <c r="AD437" s="3" t="str">
        <f>IFERROR(MID(VLOOKUP($B437,Seqs!$A:$B,2,0),AE437,1),"")</f>
        <v>D</v>
      </c>
      <c r="AE437" s="3">
        <v>254</v>
      </c>
      <c r="AF437" s="3" t="str">
        <f>IFERROR(MID(VLOOKUP($B437,Seqs!$A:$B,2,0),AG437,1),"")</f>
        <v>C</v>
      </c>
      <c r="AG437" s="3">
        <v>258</v>
      </c>
      <c r="AH437" s="3" t="str">
        <f>IFERROR(MID(VLOOKUP($B437,Seqs!$A:$B,2,0),AI437,1),"")</f>
        <v>F</v>
      </c>
      <c r="AI437" s="3">
        <v>260</v>
      </c>
      <c r="AJ437" s="3" t="str">
        <f>IFERROR(MID(VLOOKUP($B437,Seqs!$A:$B,2,0),AK437,1),"")</f>
        <v>T</v>
      </c>
      <c r="AK437" s="3">
        <v>268</v>
      </c>
      <c r="AL437" s="3" t="str">
        <f>IFERROR(MID(VLOOKUP($B437,Seqs!$A:$B,2,0),AM437,1),"")</f>
        <v>L</v>
      </c>
      <c r="AM437" s="3">
        <v>298</v>
      </c>
      <c r="AN437" s="3" t="str">
        <f>IFERROR(MID(VLOOKUP($B437,Seqs!$A:$B,2,0),AO437,1),"")</f>
        <v>S</v>
      </c>
      <c r="AO437" s="3">
        <v>304</v>
      </c>
      <c r="AP437" s="3" t="str">
        <f>IFERROR(MID(VLOOKUP($B437,Seqs!$A:$B,2,0),AQ437,1),"")</f>
        <v>V</v>
      </c>
      <c r="AQ437" s="3">
        <v>332</v>
      </c>
      <c r="AR437" s="3" t="str">
        <f>IFERROR(MID(VLOOKUP($B437,Seqs!$A:$B,2,0),AS437,1),"")</f>
        <v>V</v>
      </c>
      <c r="AS437" s="3">
        <v>339</v>
      </c>
      <c r="AT437" s="3" t="str">
        <f>IFERROR(MID(VLOOKUP($B437,Seqs!$A:$B,2,0),AU437,1),"")</f>
        <v>E</v>
      </c>
      <c r="AU437" s="3">
        <v>369</v>
      </c>
      <c r="AV437" s="3" t="str">
        <f>IFERROR(MID(VLOOKUP($B437,Seqs!$A:$B,2,0),AW437,1),"")</f>
        <v/>
      </c>
      <c r="AW437" s="3" t="s">
        <v>23</v>
      </c>
      <c r="AX437" s="3" t="str">
        <f>IFERROR(MID(VLOOKUP($B437,Seqs!$A:$B,2,0),AY437,1),"")</f>
        <v/>
      </c>
      <c r="AY437" s="3" t="s">
        <v>23</v>
      </c>
      <c r="AZ437" s="77" t="str">
        <f>VLOOKUP(B437,Classification!A:D,2,0)</f>
        <v>B1</v>
      </c>
      <c r="BA437" s="94" t="str">
        <f>VLOOKUP(B437,Classification!A:D,4,0)</f>
        <v>Corticotropin-releasingfact</v>
      </c>
      <c r="BB437" s="27" t="b">
        <f t="shared" si="2961"/>
        <v>1</v>
      </c>
      <c r="BC437" s="23">
        <f t="shared" si="4108"/>
        <v>225</v>
      </c>
      <c r="BD437" s="56" t="s">
        <v>23</v>
      </c>
      <c r="BE437" s="3" t="s">
        <v>1370</v>
      </c>
      <c r="BF437" s="118">
        <v>3.18</v>
      </c>
      <c r="BG437" s="49" t="s">
        <v>1373</v>
      </c>
      <c r="BH437" s="49" t="s">
        <v>1373</v>
      </c>
      <c r="BI437" s="3" t="s">
        <v>1158</v>
      </c>
      <c r="BJ437" s="70" t="s">
        <v>1283</v>
      </c>
      <c r="BK437" s="57" t="s">
        <v>1283</v>
      </c>
      <c r="BL437" s="57" t="s">
        <v>1283</v>
      </c>
      <c r="BM437" s="57" t="s">
        <v>1283</v>
      </c>
      <c r="BN437" s="57" t="s">
        <v>1283</v>
      </c>
      <c r="BO437" s="57" t="s">
        <v>1283</v>
      </c>
      <c r="BP437" s="57" t="s">
        <v>1283</v>
      </c>
      <c r="BQ437" s="57" t="s">
        <v>1283</v>
      </c>
      <c r="BR437" s="57" t="s">
        <v>1283</v>
      </c>
      <c r="BS437" s="57" t="s">
        <v>1283</v>
      </c>
      <c r="BT437" s="57" t="s">
        <v>1283</v>
      </c>
      <c r="BU437" s="57" t="s">
        <v>1283</v>
      </c>
      <c r="BV437" s="70">
        <f t="shared" si="4109"/>
        <v>112</v>
      </c>
      <c r="BW437" s="71">
        <f t="shared" si="4110"/>
        <v>145</v>
      </c>
      <c r="BX437" s="72">
        <f t="shared" si="4111"/>
        <v>149</v>
      </c>
      <c r="BY437" s="71" t="str">
        <f t="shared" si="4112"/>
        <v>-</v>
      </c>
      <c r="BZ437" s="72">
        <f t="shared" si="4113"/>
        <v>185</v>
      </c>
      <c r="CA437" s="71" t="str">
        <f t="shared" si="4114"/>
        <v>-</v>
      </c>
      <c r="CB437" s="72">
        <f t="shared" si="4115"/>
        <v>226</v>
      </c>
      <c r="CC437" s="71">
        <f t="shared" si="4116"/>
        <v>258</v>
      </c>
      <c r="CD437" s="72">
        <f t="shared" si="4117"/>
        <v>268</v>
      </c>
      <c r="CE437" s="71">
        <f t="shared" si="4118"/>
        <v>304</v>
      </c>
      <c r="CF437" s="72">
        <f t="shared" si="4119"/>
        <v>339</v>
      </c>
      <c r="CG437" s="71" t="str">
        <f t="shared" si="4120"/>
        <v>-</v>
      </c>
      <c r="CH437" s="70">
        <f t="shared" si="4121"/>
        <v>144</v>
      </c>
      <c r="CI437" s="71">
        <f t="shared" si="4122"/>
        <v>148</v>
      </c>
      <c r="CJ437" s="72">
        <f t="shared" si="4123"/>
        <v>175</v>
      </c>
      <c r="CK437" s="72" t="str">
        <f t="shared" si="4124"/>
        <v>-</v>
      </c>
      <c r="CL437" s="72">
        <f t="shared" si="4125"/>
        <v>219</v>
      </c>
      <c r="CM437" s="72" t="str">
        <f t="shared" si="4126"/>
        <v>-</v>
      </c>
      <c r="CN437" s="72">
        <f t="shared" si="4127"/>
        <v>254</v>
      </c>
      <c r="CO437" s="72">
        <f t="shared" si="4128"/>
        <v>260</v>
      </c>
      <c r="CP437" s="72">
        <f t="shared" si="4129"/>
        <v>298</v>
      </c>
      <c r="CQ437" s="72">
        <f t="shared" si="4130"/>
        <v>332</v>
      </c>
      <c r="CR437" s="72">
        <f t="shared" si="4131"/>
        <v>369</v>
      </c>
      <c r="CS437" s="72" t="str">
        <f t="shared" si="4132"/>
        <v>-</v>
      </c>
      <c r="CT437" s="23">
        <f t="shared" si="4133"/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29" s="12" customFormat="1" x14ac:dyDescent="0.2">
      <c r="A438" s="9" t="str">
        <f t="shared" ref="A438" si="4134">CONCATENATE(B438,"_",C438)</f>
        <v>crfr1_human_6PB0</v>
      </c>
      <c r="B438" s="9" t="s">
        <v>38</v>
      </c>
      <c r="C438" s="9" t="s">
        <v>1719</v>
      </c>
      <c r="D438" s="9" t="str">
        <f>IFERROR(MID(VLOOKUP($B438,Seqs!$A:$B,2,0),E438,1),"")</f>
        <v>S</v>
      </c>
      <c r="E438" s="9">
        <v>112</v>
      </c>
      <c r="F438" s="9" t="str">
        <f>IFERROR(MID(VLOOKUP($B438,Seqs!$A:$B,2,0),G438,1),"")</f>
        <v>L</v>
      </c>
      <c r="G438" s="9">
        <v>144</v>
      </c>
      <c r="H438" s="9" t="str">
        <f>IFERROR(MID(VLOOKUP($B438,Seqs!$A:$B,2,0),I438,1),"")</f>
        <v/>
      </c>
      <c r="I438" s="109" t="s">
        <v>23</v>
      </c>
      <c r="J438" s="9" t="str">
        <f>IFERROR(MID(VLOOKUP($B438,Seqs!$A:$B,2,0),K438,1),"")</f>
        <v/>
      </c>
      <c r="K438" s="109" t="s">
        <v>23</v>
      </c>
      <c r="L438" s="9" t="str">
        <f>IFERROR(MID(VLOOKUP($B438,Seqs!$A:$B,2,0),M438,1),"")</f>
        <v>C</v>
      </c>
      <c r="M438" s="109">
        <v>149</v>
      </c>
      <c r="N438" s="9" t="str">
        <f>IFERROR(MID(VLOOKUP($B438,Seqs!$A:$B,2,0),O438,1),"")</f>
        <v>T</v>
      </c>
      <c r="O438" s="9">
        <v>175</v>
      </c>
      <c r="P438" s="9" t="str">
        <f>IFERROR(MID(VLOOKUP($B438,Seqs!$A:$B,2,0),Q438,1),"")</f>
        <v/>
      </c>
      <c r="Q438" s="9" t="s">
        <v>23</v>
      </c>
      <c r="R438" s="9" t="str">
        <f>IFERROR(MID(VLOOKUP($B438,Seqs!$A:$B,2,0),S438,1),"")</f>
        <v/>
      </c>
      <c r="S438" s="9" t="s">
        <v>23</v>
      </c>
      <c r="T438" s="9" t="str">
        <f>IFERROR(MID(VLOOKUP($B438,Seqs!$A:$B,2,0),U438,1),"")</f>
        <v>V</v>
      </c>
      <c r="U438" s="9">
        <v>185</v>
      </c>
      <c r="V438" s="9" t="str">
        <f>IFERROR(MID(VLOOKUP($B438,Seqs!$A:$B,2,0),W438,1),"")</f>
        <v>L</v>
      </c>
      <c r="W438" s="9">
        <v>219</v>
      </c>
      <c r="X438" s="9" t="str">
        <f>IFERROR(MID(VLOOKUP($B438,Seqs!$A:$B,2,0),Y438,1),"")</f>
        <v/>
      </c>
      <c r="Y438" s="9" t="s">
        <v>23</v>
      </c>
      <c r="Z438" s="9" t="str">
        <f>IFERROR(MID(VLOOKUP($B438,Seqs!$A:$B,2,0),AA438,1),"")</f>
        <v/>
      </c>
      <c r="AA438" s="9" t="s">
        <v>23</v>
      </c>
      <c r="AB438" s="9" t="str">
        <f>IFERROR(MID(VLOOKUP($B438,Seqs!$A:$B,2,0),AC438,1),"")</f>
        <v>K</v>
      </c>
      <c r="AC438" s="9">
        <v>228</v>
      </c>
      <c r="AD438" s="9" t="str">
        <f>IFERROR(MID(VLOOKUP($B438,Seqs!$A:$B,2,0),AE438,1),"")</f>
        <v>Y</v>
      </c>
      <c r="AE438" s="9">
        <v>253</v>
      </c>
      <c r="AF438" s="9" t="str">
        <f>IFERROR(MID(VLOOKUP($B438,Seqs!$A:$B,2,0),AG438,1),"")</f>
        <v>C</v>
      </c>
      <c r="AG438" s="9">
        <v>258</v>
      </c>
      <c r="AH438" s="9" t="str">
        <f>IFERROR(MID(VLOOKUP($B438,Seqs!$A:$B,2,0),AI438,1),"")</f>
        <v>F</v>
      </c>
      <c r="AI438" s="9">
        <v>260</v>
      </c>
      <c r="AJ438" s="9" t="str">
        <f>IFERROR(MID(VLOOKUP($B438,Seqs!$A:$B,2,0),AK438,1),"")</f>
        <v>T</v>
      </c>
      <c r="AK438" s="9">
        <v>268</v>
      </c>
      <c r="AL438" s="9" t="str">
        <f>IFERROR(MID(VLOOKUP($B438,Seqs!$A:$B,2,0),AM438,1),"")</f>
        <v>T</v>
      </c>
      <c r="AM438" s="9">
        <v>302</v>
      </c>
      <c r="AN438" s="9" t="str">
        <f>IFERROR(MID(VLOOKUP($B438,Seqs!$A:$B,2,0),AO438,1),"")</f>
        <v>S</v>
      </c>
      <c r="AO438" s="9">
        <v>304</v>
      </c>
      <c r="AP438" s="9" t="str">
        <f>IFERROR(MID(VLOOKUP($B438,Seqs!$A:$B,2,0),AQ438,1),"")</f>
        <v>L</v>
      </c>
      <c r="AQ438" s="9">
        <v>329</v>
      </c>
      <c r="AR438" s="9" t="str">
        <f>IFERROR(MID(VLOOKUP($B438,Seqs!$A:$B,2,0),AS438,1),"")</f>
        <v>E</v>
      </c>
      <c r="AS438" s="9">
        <v>338</v>
      </c>
      <c r="AT438" s="9" t="str">
        <f>IFERROR(MID(VLOOKUP($B438,Seqs!$A:$B,2,0),AU438,1),"")</f>
        <v>L</v>
      </c>
      <c r="AU438" s="9">
        <v>366</v>
      </c>
      <c r="AV438" s="9" t="str">
        <f>IFERROR(MID(VLOOKUP($B438,Seqs!$A:$B,2,0),AW438,1),"")</f>
        <v>N</v>
      </c>
      <c r="AW438" s="9">
        <v>367</v>
      </c>
      <c r="AX438" s="9" t="str">
        <f>IFERROR(MID(VLOOKUP($B438,Seqs!$A:$B,2,0),AY438,1),"")</f>
        <v>S</v>
      </c>
      <c r="AY438" s="9">
        <v>386</v>
      </c>
      <c r="AZ438" s="110" t="str">
        <f>VLOOKUP(B438,Classification!A:D,2,0)</f>
        <v>B1</v>
      </c>
      <c r="BA438" s="98" t="str">
        <f>VLOOKUP(B438,Classification!A:D,4,0)</f>
        <v>Corticotropin-releasingfact</v>
      </c>
      <c r="BB438" s="36" t="b">
        <f t="shared" ref="BB438" si="4135">AND(E438&lt;G438,OR(G438&lt;I438,I438="-"),OR(I438&lt;K438,I438="-"),OR(K438&lt;M438,K438="-"),M438&lt;O438,OR(O438&lt;Q438,Q438="-"),OR(Q438&lt;S438,Q438="-"),OR(S438&lt;U438,S438="-"),U438&lt;W438,OR(W438&lt;Y438,Y438="-"),OR(Y438&lt;AA438,Y438="-"),OR(AA438&lt;AC438,AA438="-"),AC438&lt;AE438,OR(AE438&lt;AG438,AG438="-"),OR(AG438&lt;AI438,AG438="-"),OR(AI438&lt;AK438,AI438="-"),AK438&lt;AM438,AM438&lt;AO438,AO438&lt;AQ438,AQ438&lt;AS438,AS438&lt;AU438,OR(AU438&lt;AW438,AW438="-"),OR(AW438&lt;AY438,AW438="-"))</f>
        <v>1</v>
      </c>
      <c r="BC438" s="109">
        <f t="shared" ref="BC438" si="4136">_xlfn.AGGREGATE(9,6,CH438:CS438)-_xlfn.AGGREGATE(9,6,BV438:CG438)+12</f>
        <v>237</v>
      </c>
      <c r="BD438" s="127" t="s">
        <v>1371</v>
      </c>
      <c r="BE438" s="9" t="s">
        <v>1287</v>
      </c>
      <c r="BF438" s="119">
        <v>3</v>
      </c>
      <c r="BG438" s="51" t="s">
        <v>1418</v>
      </c>
      <c r="BH438" s="51" t="s">
        <v>1418</v>
      </c>
      <c r="BI438" s="9"/>
      <c r="BJ438" s="111" t="s">
        <v>1283</v>
      </c>
      <c r="BK438" s="112" t="s">
        <v>1283</v>
      </c>
      <c r="BL438" s="112" t="s">
        <v>1283</v>
      </c>
      <c r="BM438" s="112" t="s">
        <v>1283</v>
      </c>
      <c r="BN438" s="112" t="s">
        <v>1283</v>
      </c>
      <c r="BO438" s="112" t="s">
        <v>1283</v>
      </c>
      <c r="BP438" s="112" t="s">
        <v>1283</v>
      </c>
      <c r="BQ438" s="112" t="s">
        <v>1283</v>
      </c>
      <c r="BR438" s="112" t="s">
        <v>1283</v>
      </c>
      <c r="BS438" s="112" t="s">
        <v>1283</v>
      </c>
      <c r="BT438" s="112" t="s">
        <v>1283</v>
      </c>
      <c r="BU438" s="112" t="s">
        <v>1283</v>
      </c>
      <c r="BV438" s="111">
        <f t="shared" ref="BV438" si="4137">E438</f>
        <v>112</v>
      </c>
      <c r="BW438" s="113" t="str">
        <f t="shared" ref="BW438" si="4138">I438</f>
        <v>-</v>
      </c>
      <c r="BX438" s="114">
        <f t="shared" ref="BX438" si="4139">M438</f>
        <v>149</v>
      </c>
      <c r="BY438" s="113" t="str">
        <f t="shared" ref="BY438" si="4140">Q438</f>
        <v>-</v>
      </c>
      <c r="BZ438" s="114">
        <f t="shared" ref="BZ438" si="4141">U438</f>
        <v>185</v>
      </c>
      <c r="CA438" s="113" t="str">
        <f t="shared" ref="CA438" si="4142">Y438</f>
        <v>-</v>
      </c>
      <c r="CB438" s="114">
        <f t="shared" ref="CB438" si="4143">AC438</f>
        <v>228</v>
      </c>
      <c r="CC438" s="113">
        <f t="shared" ref="CC438" si="4144">AG438</f>
        <v>258</v>
      </c>
      <c r="CD438" s="114">
        <f t="shared" ref="CD438" si="4145">AK438</f>
        <v>268</v>
      </c>
      <c r="CE438" s="113">
        <f t="shared" ref="CE438" si="4146">AO438</f>
        <v>304</v>
      </c>
      <c r="CF438" s="114">
        <f t="shared" ref="CF438" si="4147">AS438</f>
        <v>338</v>
      </c>
      <c r="CG438" s="113">
        <f t="shared" ref="CG438" si="4148">AW438</f>
        <v>367</v>
      </c>
      <c r="CH438" s="111">
        <f t="shared" ref="CH438" si="4149">G438</f>
        <v>144</v>
      </c>
      <c r="CI438" s="113" t="str">
        <f t="shared" ref="CI438" si="4150">K438</f>
        <v>-</v>
      </c>
      <c r="CJ438" s="114">
        <f t="shared" ref="CJ438" si="4151">O438</f>
        <v>175</v>
      </c>
      <c r="CK438" s="114" t="str">
        <f t="shared" ref="CK438" si="4152">S438</f>
        <v>-</v>
      </c>
      <c r="CL438" s="114">
        <f t="shared" ref="CL438" si="4153">W438</f>
        <v>219</v>
      </c>
      <c r="CM438" s="114" t="str">
        <f t="shared" ref="CM438" si="4154">AA438</f>
        <v>-</v>
      </c>
      <c r="CN438" s="114">
        <f t="shared" ref="CN438" si="4155">AE438</f>
        <v>253</v>
      </c>
      <c r="CO438" s="114">
        <f t="shared" ref="CO438" si="4156">AI438</f>
        <v>260</v>
      </c>
      <c r="CP438" s="114">
        <f t="shared" ref="CP438" si="4157">AM438</f>
        <v>302</v>
      </c>
      <c r="CQ438" s="114">
        <f t="shared" ref="CQ438" si="4158">AQ438</f>
        <v>329</v>
      </c>
      <c r="CR438" s="114">
        <f t="shared" ref="CR438" si="4159">AU438</f>
        <v>366</v>
      </c>
      <c r="CS438" s="114">
        <f t="shared" ref="CS438" si="4160">AY438</f>
        <v>386</v>
      </c>
      <c r="CT438" s="109" t="e">
        <f t="shared" ref="CT438" si="4161">M438-K438</f>
        <v>#VALUE!</v>
      </c>
    </row>
    <row r="439" spans="1:1029" s="12" customFormat="1" x14ac:dyDescent="0.2">
      <c r="A439" s="9" t="str">
        <f t="shared" ref="A439" si="4162">CONCATENATE(B439,"_",C439)</f>
        <v>crfr1_human_6P9X</v>
      </c>
      <c r="B439" s="9" t="s">
        <v>38</v>
      </c>
      <c r="C439" s="9" t="s">
        <v>1720</v>
      </c>
      <c r="D439" s="9" t="str">
        <f>IFERROR(MID(VLOOKUP($B439,Seqs!$A:$B,2,0),E439,1),"")</f>
        <v>V</v>
      </c>
      <c r="E439" s="9">
        <v>114</v>
      </c>
      <c r="F439" s="9" t="str">
        <f>IFERROR(MID(VLOOKUP($B439,Seqs!$A:$B,2,0),G439,1),"")</f>
        <v>L</v>
      </c>
      <c r="G439" s="9">
        <v>144</v>
      </c>
      <c r="H439" s="9" t="str">
        <f>IFERROR(MID(VLOOKUP($B439,Seqs!$A:$B,2,0),I439,1),"")</f>
        <v>R</v>
      </c>
      <c r="I439" s="109">
        <v>145</v>
      </c>
      <c r="J439" s="9" t="str">
        <f>IFERROR(MID(VLOOKUP($B439,Seqs!$A:$B,2,0),K439,1),"")</f>
        <v>R</v>
      </c>
      <c r="K439" s="109">
        <v>148</v>
      </c>
      <c r="L439" s="9" t="str">
        <f>IFERROR(MID(VLOOKUP($B439,Seqs!$A:$B,2,0),M439,1),"")</f>
        <v>C</v>
      </c>
      <c r="M439" s="109">
        <v>149</v>
      </c>
      <c r="N439" s="9" t="str">
        <f>IFERROR(MID(VLOOKUP($B439,Seqs!$A:$B,2,0),O439,1),"")</f>
        <v>T</v>
      </c>
      <c r="O439" s="9">
        <v>175</v>
      </c>
      <c r="P439" s="9" t="str">
        <f>IFERROR(MID(VLOOKUP($B439,Seqs!$A:$B,2,0),Q439,1),"")</f>
        <v/>
      </c>
      <c r="Q439" s="9" t="s">
        <v>23</v>
      </c>
      <c r="R439" s="9" t="str">
        <f>IFERROR(MID(VLOOKUP($B439,Seqs!$A:$B,2,0),S439,1),"")</f>
        <v/>
      </c>
      <c r="S439" s="9" t="s">
        <v>23</v>
      </c>
      <c r="T439" s="9" t="str">
        <f>IFERROR(MID(VLOOKUP($B439,Seqs!$A:$B,2,0),U439,1),"")</f>
        <v>V</v>
      </c>
      <c r="U439" s="9">
        <v>185</v>
      </c>
      <c r="V439" s="9" t="str">
        <f>IFERROR(MID(VLOOKUP($B439,Seqs!$A:$B,2,0),W439,1),"")</f>
        <v>L</v>
      </c>
      <c r="W439" s="9">
        <v>219</v>
      </c>
      <c r="X439" s="9" t="str">
        <f>IFERROR(MID(VLOOKUP($B439,Seqs!$A:$B,2,0),Y439,1),"")</f>
        <v/>
      </c>
      <c r="Y439" s="9" t="s">
        <v>23</v>
      </c>
      <c r="Z439" s="9" t="str">
        <f>IFERROR(MID(VLOOKUP($B439,Seqs!$A:$B,2,0),AA439,1),"")</f>
        <v/>
      </c>
      <c r="AA439" s="9" t="s">
        <v>23</v>
      </c>
      <c r="AB439" s="9" t="str">
        <f>IFERROR(MID(VLOOKUP($B439,Seqs!$A:$B,2,0),AC439,1),"")</f>
        <v>R</v>
      </c>
      <c r="AC439" s="9">
        <v>227</v>
      </c>
      <c r="AD439" s="9" t="str">
        <f>IFERROR(MID(VLOOKUP($B439,Seqs!$A:$B,2,0),AE439,1),"")</f>
        <v>Y</v>
      </c>
      <c r="AE439" s="9">
        <v>253</v>
      </c>
      <c r="AF439" s="9" t="str">
        <f>IFERROR(MID(VLOOKUP($B439,Seqs!$A:$B,2,0),AG439,1),"")</f>
        <v>C</v>
      </c>
      <c r="AG439" s="9">
        <v>258</v>
      </c>
      <c r="AH439" s="9" t="str">
        <f>IFERROR(MID(VLOOKUP($B439,Seqs!$A:$B,2,0),AI439,1),"")</f>
        <v>F</v>
      </c>
      <c r="AI439" s="9">
        <v>260</v>
      </c>
      <c r="AJ439" s="9" t="str">
        <f>IFERROR(MID(VLOOKUP($B439,Seqs!$A:$B,2,0),AK439,1),"")</f>
        <v>T</v>
      </c>
      <c r="AK439" s="9">
        <v>268</v>
      </c>
      <c r="AL439" s="9" t="str">
        <f>IFERROR(MID(VLOOKUP($B439,Seqs!$A:$B,2,0),AM439,1),"")</f>
        <v>T</v>
      </c>
      <c r="AM439" s="9">
        <v>302</v>
      </c>
      <c r="AN439" s="9" t="str">
        <f>IFERROR(MID(VLOOKUP($B439,Seqs!$A:$B,2,0),AO439,1),"")</f>
        <v>S</v>
      </c>
      <c r="AO439" s="9">
        <v>304</v>
      </c>
      <c r="AP439" s="9" t="str">
        <f>IFERROR(MID(VLOOKUP($B439,Seqs!$A:$B,2,0),AQ439,1),"")</f>
        <v>L</v>
      </c>
      <c r="AQ439" s="9">
        <v>329</v>
      </c>
      <c r="AR439" s="9" t="str">
        <f>IFERROR(MID(VLOOKUP($B439,Seqs!$A:$B,2,0),AS439,1),"")</f>
        <v>E</v>
      </c>
      <c r="AS439" s="9">
        <v>338</v>
      </c>
      <c r="AT439" s="9" t="str">
        <f>IFERROR(MID(VLOOKUP($B439,Seqs!$A:$B,2,0),AU439,1),"")</f>
        <v>L</v>
      </c>
      <c r="AU439" s="9">
        <v>366</v>
      </c>
      <c r="AV439" s="9" t="str">
        <f>IFERROR(MID(VLOOKUP($B439,Seqs!$A:$B,2,0),AW439,1),"")</f>
        <v>N</v>
      </c>
      <c r="AW439" s="9">
        <v>367</v>
      </c>
      <c r="AX439" s="9" t="str">
        <f>IFERROR(MID(VLOOKUP($B439,Seqs!$A:$B,2,0),AY439,1),"")</f>
        <v>S</v>
      </c>
      <c r="AY439" s="9">
        <v>386</v>
      </c>
      <c r="AZ439" s="110" t="str">
        <f>VLOOKUP(B439,Classification!A:D,2,0)</f>
        <v>B1</v>
      </c>
      <c r="BA439" s="98" t="str">
        <f>VLOOKUP(B439,Classification!A:D,4,0)</f>
        <v>Corticotropin-releasingfact</v>
      </c>
      <c r="BB439" s="36" t="b">
        <f t="shared" ref="BB439" si="4163">AND(E439&lt;G439,OR(G439&lt;I439,I439="-"),OR(I439&lt;K439,I439="-"),OR(K439&lt;M439,K439="-"),M439&lt;O439,OR(O439&lt;Q439,Q439="-"),OR(Q439&lt;S439,Q439="-"),OR(S439&lt;U439,S439="-"),U439&lt;W439,OR(W439&lt;Y439,Y439="-"),OR(Y439&lt;AA439,Y439="-"),OR(AA439&lt;AC439,AA439="-"),AC439&lt;AE439,OR(AE439&lt;AG439,AG439="-"),OR(AG439&lt;AI439,AG439="-"),OR(AI439&lt;AK439,AI439="-"),AK439&lt;AM439,AM439&lt;AO439,AO439&lt;AQ439,AQ439&lt;AS439,AS439&lt;AU439,OR(AU439&lt;AW439,AW439="-"),OR(AW439&lt;AY439,AW439="-"))</f>
        <v>1</v>
      </c>
      <c r="BC439" s="109">
        <f t="shared" ref="BC439" si="4164">_xlfn.AGGREGATE(9,6,CH439:CS439)-_xlfn.AGGREGATE(9,6,BV439:CG439)+12</f>
        <v>239</v>
      </c>
      <c r="BD439" s="127" t="s">
        <v>23</v>
      </c>
      <c r="BE439" s="9" t="s">
        <v>1287</v>
      </c>
      <c r="BF439" s="119">
        <v>2.91</v>
      </c>
      <c r="BG439" s="51" t="s">
        <v>1418</v>
      </c>
      <c r="BH439" s="51" t="s">
        <v>1418</v>
      </c>
      <c r="BI439" s="9"/>
      <c r="BJ439" s="111" t="s">
        <v>1283</v>
      </c>
      <c r="BK439" s="112" t="s">
        <v>1283</v>
      </c>
      <c r="BL439" s="112" t="s">
        <v>1283</v>
      </c>
      <c r="BM439" s="112" t="s">
        <v>1283</v>
      </c>
      <c r="BN439" s="112" t="s">
        <v>1283</v>
      </c>
      <c r="BO439" s="112" t="s">
        <v>1283</v>
      </c>
      <c r="BP439" s="112" t="s">
        <v>1283</v>
      </c>
      <c r="BQ439" s="112" t="s">
        <v>1283</v>
      </c>
      <c r="BR439" s="112" t="s">
        <v>1283</v>
      </c>
      <c r="BS439" s="112" t="s">
        <v>1283</v>
      </c>
      <c r="BT439" s="112" t="s">
        <v>1283</v>
      </c>
      <c r="BU439" s="112" t="s">
        <v>1283</v>
      </c>
      <c r="BV439" s="111">
        <f t="shared" ref="BV439" si="4165">E439</f>
        <v>114</v>
      </c>
      <c r="BW439" s="113">
        <f t="shared" ref="BW439" si="4166">I439</f>
        <v>145</v>
      </c>
      <c r="BX439" s="114">
        <f t="shared" ref="BX439" si="4167">M439</f>
        <v>149</v>
      </c>
      <c r="BY439" s="113" t="str">
        <f t="shared" ref="BY439" si="4168">Q439</f>
        <v>-</v>
      </c>
      <c r="BZ439" s="114">
        <f t="shared" ref="BZ439" si="4169">U439</f>
        <v>185</v>
      </c>
      <c r="CA439" s="113" t="str">
        <f t="shared" ref="CA439" si="4170">Y439</f>
        <v>-</v>
      </c>
      <c r="CB439" s="114">
        <f t="shared" ref="CB439" si="4171">AC439</f>
        <v>227</v>
      </c>
      <c r="CC439" s="113">
        <f t="shared" ref="CC439" si="4172">AG439</f>
        <v>258</v>
      </c>
      <c r="CD439" s="114">
        <f t="shared" ref="CD439" si="4173">AK439</f>
        <v>268</v>
      </c>
      <c r="CE439" s="113">
        <f t="shared" ref="CE439" si="4174">AO439</f>
        <v>304</v>
      </c>
      <c r="CF439" s="114">
        <f t="shared" ref="CF439" si="4175">AS439</f>
        <v>338</v>
      </c>
      <c r="CG439" s="113">
        <f t="shared" ref="CG439" si="4176">AW439</f>
        <v>367</v>
      </c>
      <c r="CH439" s="111">
        <f t="shared" ref="CH439" si="4177">G439</f>
        <v>144</v>
      </c>
      <c r="CI439" s="113">
        <f t="shared" ref="CI439" si="4178">K439</f>
        <v>148</v>
      </c>
      <c r="CJ439" s="114">
        <f t="shared" ref="CJ439" si="4179">O439</f>
        <v>175</v>
      </c>
      <c r="CK439" s="114" t="str">
        <f t="shared" ref="CK439" si="4180">S439</f>
        <v>-</v>
      </c>
      <c r="CL439" s="114">
        <f t="shared" ref="CL439" si="4181">W439</f>
        <v>219</v>
      </c>
      <c r="CM439" s="114" t="str">
        <f t="shared" ref="CM439" si="4182">AA439</f>
        <v>-</v>
      </c>
      <c r="CN439" s="114">
        <f t="shared" ref="CN439" si="4183">AE439</f>
        <v>253</v>
      </c>
      <c r="CO439" s="114">
        <f t="shared" ref="CO439" si="4184">AI439</f>
        <v>260</v>
      </c>
      <c r="CP439" s="114">
        <f t="shared" ref="CP439" si="4185">AM439</f>
        <v>302</v>
      </c>
      <c r="CQ439" s="114">
        <f t="shared" ref="CQ439" si="4186">AQ439</f>
        <v>329</v>
      </c>
      <c r="CR439" s="114">
        <f t="shared" ref="CR439" si="4187">AU439</f>
        <v>366</v>
      </c>
      <c r="CS439" s="114">
        <f t="shared" ref="CS439" si="4188">AY439</f>
        <v>386</v>
      </c>
      <c r="CT439" s="109">
        <f t="shared" ref="CT439" si="4189">M439-K439</f>
        <v>1</v>
      </c>
    </row>
    <row r="440" spans="1:1029" x14ac:dyDescent="0.2">
      <c r="A440" s="3" t="str">
        <f t="shared" ref="A440:A441" si="4190">CONCATENATE(B440,"_",C440)</f>
        <v>crfr2_human__wt</v>
      </c>
      <c r="B440" s="3" t="s">
        <v>402</v>
      </c>
      <c r="C440" s="3" t="s">
        <v>100</v>
      </c>
      <c r="D440" s="3" t="str">
        <f>IFERROR(MID(VLOOKUP($B440,Seqs!$A:$B,2,0),E440,1),"")</f>
        <v>P</v>
      </c>
      <c r="E440" s="3">
        <v>100</v>
      </c>
      <c r="F440" s="3" t="str">
        <f>IFERROR(MID(VLOOKUP($B440,Seqs!$A:$B,2,0),G440,1),"")</f>
        <v>L</v>
      </c>
      <c r="G440" s="3">
        <v>141</v>
      </c>
      <c r="H440" s="3" t="str">
        <f>IFERROR(MID(VLOOKUP($B440,Seqs!$A:$B,2,0),I440,1),"")</f>
        <v>R</v>
      </c>
      <c r="I440" s="23">
        <v>142</v>
      </c>
      <c r="J440" s="3" t="str">
        <f>IFERROR(MID(VLOOKUP($B440,Seqs!$A:$B,2,0),K440,1),"")</f>
        <v>R</v>
      </c>
      <c r="K440" s="23">
        <v>145</v>
      </c>
      <c r="L440" s="3" t="str">
        <f>IFERROR(MID(VLOOKUP($B440,Seqs!$A:$B,2,0),M440,1),"")</f>
        <v>C</v>
      </c>
      <c r="M440" s="23">
        <v>146</v>
      </c>
      <c r="N440" s="3" t="str">
        <f>IFERROR(MID(VLOOKUP($B440,Seqs!$A:$B,2,0),O440,1),"")</f>
        <v>V</v>
      </c>
      <c r="O440" s="3">
        <v>172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E</v>
      </c>
      <c r="U440" s="3">
        <v>181</v>
      </c>
      <c r="V440" s="3" t="str">
        <f>IFERROR(MID(VLOOKUP($B440,Seqs!$A:$B,2,0),W440,1),"")</f>
        <v>M</v>
      </c>
      <c r="W440" s="3">
        <v>215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R</v>
      </c>
      <c r="AC440" s="3">
        <v>223</v>
      </c>
      <c r="AD440" s="3" t="str">
        <f>IFERROR(MID(VLOOKUP($B440,Seqs!$A:$B,2,0),AE440,1),"")</f>
        <v>E</v>
      </c>
      <c r="AE440" s="3">
        <v>250</v>
      </c>
      <c r="AF440" s="3" t="str">
        <f>IFERROR(MID(VLOOKUP($B440,Seqs!$A:$B,2,0),AG440,1),"")</f>
        <v>C</v>
      </c>
      <c r="AG440" s="3">
        <v>254</v>
      </c>
      <c r="AH440" s="3" t="str">
        <f>IFERROR(MID(VLOOKUP($B440,Seqs!$A:$B,2,0),AI440,1),"")</f>
        <v>F</v>
      </c>
      <c r="AI440" s="3">
        <v>256</v>
      </c>
      <c r="AJ440" s="3" t="str">
        <f>IFERROR(MID(VLOOKUP($B440,Seqs!$A:$B,2,0),AK440,1),"")</f>
        <v>V</v>
      </c>
      <c r="AK440" s="3">
        <v>264</v>
      </c>
      <c r="AL440" s="3" t="str">
        <f>IFERROR(MID(VLOOKUP($B440,Seqs!$A:$B,2,0),AM440,1),"")</f>
        <v>A</v>
      </c>
      <c r="AM440" s="3">
        <v>296</v>
      </c>
      <c r="AN440" s="3" t="str">
        <f>IFERROR(MID(VLOOKUP($B440,Seqs!$A:$B,2,0),AO440,1),"")</f>
        <v>S</v>
      </c>
      <c r="AO440" s="3">
        <v>300</v>
      </c>
      <c r="AP440" s="3" t="str">
        <f>IFERROR(MID(VLOOKUP($B440,Seqs!$A:$B,2,0),AQ440,1),"")</f>
        <v>V</v>
      </c>
      <c r="AQ440" s="3">
        <v>328</v>
      </c>
      <c r="AR440" s="3" t="str">
        <f>IFERROR(MID(VLOOKUP($B440,Seqs!$A:$B,2,0),AS440,1),"")</f>
        <v>D</v>
      </c>
      <c r="AS440" s="3">
        <v>334</v>
      </c>
      <c r="AT440" s="3" t="str">
        <f>IFERROR(MID(VLOOKUP($B440,Seqs!$A:$B,2,0),AU440,1),"")</f>
        <v>F</v>
      </c>
      <c r="AU440" s="3">
        <v>362</v>
      </c>
      <c r="AV440" s="3" t="str">
        <f>IFERROR(MID(VLOOKUP($B440,Seqs!$A:$B,2,0),AW440,1),"")</f>
        <v>N</v>
      </c>
      <c r="AW440" s="3">
        <v>363</v>
      </c>
      <c r="AX440" s="3" t="str">
        <f>IFERROR(MID(VLOOKUP($B440,Seqs!$A:$B,2,0),AY440,1),"")</f>
        <v>A</v>
      </c>
      <c r="AY440" s="3">
        <v>388</v>
      </c>
      <c r="AZ440" s="77" t="str">
        <f>VLOOKUP(B440,Classification!A:D,2,0)</f>
        <v>B1</v>
      </c>
      <c r="BA440" s="94" t="str">
        <f>VLOOKUP(B440,Classification!A:D,4,0)</f>
        <v>Corticotropin-releasingfact</v>
      </c>
      <c r="BB440" s="27" t="b">
        <f t="shared" ref="BB440:BB441" si="4191">AND(E440&lt;G440,OR(G440&lt;I440,I440="-"),OR(I440&lt;K440,I440="-"),OR(K440&lt;M440,K440="-"),M440&lt;O440,OR(O440&lt;Q440,Q440="-"),OR(Q440&lt;S440,Q440="-"),OR(S440&lt;U440,S440="-"),U440&lt;W440,OR(W440&lt;Y440,Y440="-"),OR(Y440&lt;AA440,Y440="-"),OR(AA440&lt;AC440,AA440="-"),AC440&lt;AE440,OR(AE440&lt;AG440,AG440="-"),OR(AG440&lt;AI440,AG440="-"),OR(AI440&lt;AK440,AI440="-"),AK440&lt;AM440,AM440&lt;AO440,AO440&lt;AQ440,AQ440&lt;AS440,AS440&lt;AU440,OR(AU440&lt;AW440,AW440="-"),OR(AW440&lt;AY440,AW440="-"))</f>
        <v>1</v>
      </c>
      <c r="BC440" s="23">
        <f t="shared" ref="BC440:BC441" si="4192">_xlfn.AGGREGATE(9,6,CH440:CS440)-_xlfn.AGGREGATE(9,6,BV440:CG440)+12</f>
        <v>258</v>
      </c>
      <c r="BD440" s="56" t="s">
        <v>23</v>
      </c>
      <c r="BE440" s="3" t="s">
        <v>23</v>
      </c>
      <c r="BF440" s="118" t="s">
        <v>23</v>
      </c>
      <c r="BG440" s="49" t="s">
        <v>1373</v>
      </c>
      <c r="BH440" s="49" t="s">
        <v>1373</v>
      </c>
      <c r="BJ440" s="70" t="s">
        <v>1283</v>
      </c>
      <c r="BK440" s="57" t="s">
        <v>1283</v>
      </c>
      <c r="BL440" s="57" t="s">
        <v>1283</v>
      </c>
      <c r="BM440" s="57" t="s">
        <v>1283</v>
      </c>
      <c r="BN440" s="57" t="s">
        <v>1283</v>
      </c>
      <c r="BO440" s="57" t="s">
        <v>1283</v>
      </c>
      <c r="BP440" s="57" t="s">
        <v>1283</v>
      </c>
      <c r="BQ440" s="57" t="s">
        <v>1283</v>
      </c>
      <c r="BR440" s="57" t="s">
        <v>1283</v>
      </c>
      <c r="BS440" s="57" t="s">
        <v>1283</v>
      </c>
      <c r="BT440" s="57" t="s">
        <v>1283</v>
      </c>
      <c r="BU440" s="57" t="s">
        <v>1283</v>
      </c>
      <c r="BV440" s="70">
        <f t="shared" ref="BV440:BV441" si="4193">E440</f>
        <v>100</v>
      </c>
      <c r="BW440" s="71">
        <f t="shared" ref="BW440:BW441" si="4194">I440</f>
        <v>142</v>
      </c>
      <c r="BX440" s="72">
        <f t="shared" ref="BX440:BX441" si="4195">M440</f>
        <v>146</v>
      </c>
      <c r="BY440" s="71" t="str">
        <f t="shared" ref="BY440:BY441" si="4196">Q440</f>
        <v>-</v>
      </c>
      <c r="BZ440" s="72">
        <f t="shared" ref="BZ440:BZ441" si="4197">U440</f>
        <v>181</v>
      </c>
      <c r="CA440" s="71" t="str">
        <f t="shared" ref="CA440:CA441" si="4198">Y440</f>
        <v>-</v>
      </c>
      <c r="CB440" s="72">
        <f t="shared" ref="CB440:CB441" si="4199">AC440</f>
        <v>223</v>
      </c>
      <c r="CC440" s="71">
        <f t="shared" ref="CC440:CC441" si="4200">AG440</f>
        <v>254</v>
      </c>
      <c r="CD440" s="72">
        <f t="shared" ref="CD440:CD441" si="4201">AK440</f>
        <v>264</v>
      </c>
      <c r="CE440" s="71">
        <f t="shared" ref="CE440:CE441" si="4202">AO440</f>
        <v>300</v>
      </c>
      <c r="CF440" s="72">
        <f t="shared" ref="CF440:CF441" si="4203">AS440</f>
        <v>334</v>
      </c>
      <c r="CG440" s="71">
        <f t="shared" ref="CG440:CG441" si="4204">AW440</f>
        <v>363</v>
      </c>
      <c r="CH440" s="70">
        <f t="shared" ref="CH440:CH441" si="4205">G440</f>
        <v>141</v>
      </c>
      <c r="CI440" s="71">
        <f t="shared" ref="CI440:CI441" si="4206">K440</f>
        <v>145</v>
      </c>
      <c r="CJ440" s="72">
        <f t="shared" ref="CJ440:CJ441" si="4207">O440</f>
        <v>172</v>
      </c>
      <c r="CK440" s="72" t="str">
        <f t="shared" ref="CK440:CK441" si="4208">S440</f>
        <v>-</v>
      </c>
      <c r="CL440" s="72">
        <f t="shared" ref="CL440:CL441" si="4209">W440</f>
        <v>215</v>
      </c>
      <c r="CM440" s="72" t="str">
        <f t="shared" ref="CM440:CM441" si="4210">AA440</f>
        <v>-</v>
      </c>
      <c r="CN440" s="72">
        <f t="shared" ref="CN440:CN441" si="4211">AE440</f>
        <v>250</v>
      </c>
      <c r="CO440" s="72">
        <f t="shared" ref="CO440:CO441" si="4212">AI440</f>
        <v>256</v>
      </c>
      <c r="CP440" s="72">
        <f t="shared" ref="CP440:CP441" si="4213">AM440</f>
        <v>296</v>
      </c>
      <c r="CQ440" s="72">
        <f t="shared" ref="CQ440:CQ441" si="4214">AQ440</f>
        <v>328</v>
      </c>
      <c r="CR440" s="72">
        <f t="shared" ref="CR440:CR441" si="4215">AU440</f>
        <v>362</v>
      </c>
      <c r="CS440" s="72">
        <f t="shared" ref="CS440:CS441" si="4216">AY440</f>
        <v>388</v>
      </c>
      <c r="CT440" s="23">
        <f t="shared" ref="CT440:CT441" si="4217">M440-K440</f>
        <v>1</v>
      </c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  <c r="AMO440" s="1"/>
    </row>
    <row r="441" spans="1:1029" x14ac:dyDescent="0.2">
      <c r="A441" s="3" t="str">
        <f t="shared" si="4190"/>
        <v>crfr2_human_6PB1</v>
      </c>
      <c r="B441" s="3" t="s">
        <v>402</v>
      </c>
      <c r="C441" s="3" t="s">
        <v>1648</v>
      </c>
      <c r="D441" s="3" t="str">
        <f>IFERROR(MID(VLOOKUP($B441,Seqs!$A:$B,2,0),E441,1),"")</f>
        <v>L</v>
      </c>
      <c r="E441" s="3">
        <v>111</v>
      </c>
      <c r="F441" s="3" t="str">
        <f>IFERROR(MID(VLOOKUP($B441,Seqs!$A:$B,2,0),G441,1),"")</f>
        <v>L</v>
      </c>
      <c r="G441" s="3">
        <v>141</v>
      </c>
      <c r="H441" s="3" t="str">
        <f>IFERROR(MID(VLOOKUP($B441,Seqs!$A:$B,2,0),I441,1),"")</f>
        <v>R</v>
      </c>
      <c r="I441" s="23">
        <v>142</v>
      </c>
      <c r="J441" s="3" t="str">
        <f>IFERROR(MID(VLOOKUP($B441,Seqs!$A:$B,2,0),K441,1),"")</f>
        <v>R</v>
      </c>
      <c r="K441" s="23">
        <v>145</v>
      </c>
      <c r="L441" s="3" t="str">
        <f>IFERROR(MID(VLOOKUP($B441,Seqs!$A:$B,2,0),M441,1),"")</f>
        <v>C</v>
      </c>
      <c r="M441" s="23">
        <v>146</v>
      </c>
      <c r="N441" s="3" t="str">
        <f>IFERROR(MID(VLOOKUP($B441,Seqs!$A:$B,2,0),O441,1),"")</f>
        <v>Q</v>
      </c>
      <c r="O441" s="3">
        <v>170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V</v>
      </c>
      <c r="U441" s="3">
        <v>182</v>
      </c>
      <c r="V441" s="3" t="str">
        <f>IFERROR(MID(VLOOKUP($B441,Seqs!$A:$B,2,0),W441,1),"")</f>
        <v>M</v>
      </c>
      <c r="W441" s="3">
        <v>215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R</v>
      </c>
      <c r="AC441" s="3">
        <v>223</v>
      </c>
      <c r="AD441" s="3" t="str">
        <f>IFERROR(MID(VLOOKUP($B441,Seqs!$A:$B,2,0),AE441,1),"")</f>
        <v>E</v>
      </c>
      <c r="AE441" s="3">
        <v>250</v>
      </c>
      <c r="AF441" s="3" t="str">
        <f>IFERROR(MID(VLOOKUP($B441,Seqs!$A:$B,2,0),AG441,1),"")</f>
        <v>C</v>
      </c>
      <c r="AG441" s="3">
        <v>254</v>
      </c>
      <c r="AH441" s="3" t="str">
        <f>IFERROR(MID(VLOOKUP($B441,Seqs!$A:$B,2,0),AI441,1),"")</f>
        <v>F</v>
      </c>
      <c r="AI441" s="3">
        <v>256</v>
      </c>
      <c r="AJ441" s="3" t="str">
        <f>IFERROR(MID(VLOOKUP($B441,Seqs!$A:$B,2,0),AK441,1),"")</f>
        <v>V</v>
      </c>
      <c r="AK441" s="3">
        <v>264</v>
      </c>
      <c r="AL441" s="3" t="str">
        <f>IFERROR(MID(VLOOKUP($B441,Seqs!$A:$B,2,0),AM441,1),"")</f>
        <v>A</v>
      </c>
      <c r="AM441" s="3">
        <v>296</v>
      </c>
      <c r="AN441" s="3" t="str">
        <f>IFERROR(MID(VLOOKUP($B441,Seqs!$A:$B,2,0),AO441,1),"")</f>
        <v>S</v>
      </c>
      <c r="AO441" s="3">
        <v>300</v>
      </c>
      <c r="AP441" s="3" t="str">
        <f>IFERROR(MID(VLOOKUP($B441,Seqs!$A:$B,2,0),AQ441,1),"")</f>
        <v>L</v>
      </c>
      <c r="AQ441" s="3">
        <v>325</v>
      </c>
      <c r="AR441" s="3" t="str">
        <f>IFERROR(MID(VLOOKUP($B441,Seqs!$A:$B,2,0),AS441,1),"")</f>
        <v>D</v>
      </c>
      <c r="AS441" s="3">
        <v>334</v>
      </c>
      <c r="AT441" s="3" t="str">
        <f>IFERROR(MID(VLOOKUP($B441,Seqs!$A:$B,2,0),AU441,1),"")</f>
        <v>F</v>
      </c>
      <c r="AU441" s="3">
        <v>362</v>
      </c>
      <c r="AV441" s="3" t="str">
        <f>IFERROR(MID(VLOOKUP($B441,Seqs!$A:$B,2,0),AW441,1),"")</f>
        <v>N</v>
      </c>
      <c r="AW441" s="3">
        <v>363</v>
      </c>
      <c r="AX441" s="3" t="str">
        <f>IFERROR(MID(VLOOKUP($B441,Seqs!$A:$B,2,0),AY441,1),"")</f>
        <v>S</v>
      </c>
      <c r="AY441" s="3">
        <v>382</v>
      </c>
      <c r="AZ441" s="77" t="str">
        <f>VLOOKUP(B441,Classification!A:D,2,0)</f>
        <v>B1</v>
      </c>
      <c r="BA441" s="94" t="str">
        <f>VLOOKUP(B441,Classification!A:D,4,0)</f>
        <v>Corticotropin-releasingfact</v>
      </c>
      <c r="BB441" s="27" t="b">
        <f t="shared" si="4191"/>
        <v>1</v>
      </c>
      <c r="BC441" s="23">
        <f t="shared" si="4192"/>
        <v>235</v>
      </c>
      <c r="BD441" s="56" t="s">
        <v>1371</v>
      </c>
      <c r="BE441" s="3" t="s">
        <v>1287</v>
      </c>
      <c r="BF441" s="118">
        <v>2.8</v>
      </c>
      <c r="BG441" s="49" t="s">
        <v>1649</v>
      </c>
      <c r="BH441" s="49" t="s">
        <v>1649</v>
      </c>
      <c r="BJ441" s="70" t="s">
        <v>1283</v>
      </c>
      <c r="BK441" s="57" t="s">
        <v>1283</v>
      </c>
      <c r="BL441" s="57" t="s">
        <v>1283</v>
      </c>
      <c r="BM441" s="57" t="s">
        <v>1283</v>
      </c>
      <c r="BN441" s="57" t="s">
        <v>1283</v>
      </c>
      <c r="BO441" s="57" t="s">
        <v>1283</v>
      </c>
      <c r="BP441" s="57" t="s">
        <v>1283</v>
      </c>
      <c r="BQ441" s="57" t="s">
        <v>1283</v>
      </c>
      <c r="BR441" s="57" t="s">
        <v>1283</v>
      </c>
      <c r="BS441" s="57" t="s">
        <v>1283</v>
      </c>
      <c r="BT441" s="57" t="s">
        <v>1283</v>
      </c>
      <c r="BU441" s="57" t="s">
        <v>1283</v>
      </c>
      <c r="BV441" s="70">
        <f t="shared" si="4193"/>
        <v>111</v>
      </c>
      <c r="BW441" s="71">
        <f t="shared" si="4194"/>
        <v>142</v>
      </c>
      <c r="BX441" s="72">
        <f t="shared" si="4195"/>
        <v>146</v>
      </c>
      <c r="BY441" s="71" t="str">
        <f t="shared" si="4196"/>
        <v>-</v>
      </c>
      <c r="BZ441" s="72">
        <f t="shared" si="4197"/>
        <v>182</v>
      </c>
      <c r="CA441" s="71" t="str">
        <f t="shared" si="4198"/>
        <v>-</v>
      </c>
      <c r="CB441" s="72">
        <f t="shared" si="4199"/>
        <v>223</v>
      </c>
      <c r="CC441" s="71">
        <f t="shared" si="4200"/>
        <v>254</v>
      </c>
      <c r="CD441" s="72">
        <f t="shared" si="4201"/>
        <v>264</v>
      </c>
      <c r="CE441" s="71">
        <f t="shared" si="4202"/>
        <v>300</v>
      </c>
      <c r="CF441" s="72">
        <f t="shared" si="4203"/>
        <v>334</v>
      </c>
      <c r="CG441" s="71">
        <f t="shared" si="4204"/>
        <v>363</v>
      </c>
      <c r="CH441" s="70">
        <f t="shared" si="4205"/>
        <v>141</v>
      </c>
      <c r="CI441" s="71">
        <f t="shared" si="4206"/>
        <v>145</v>
      </c>
      <c r="CJ441" s="72">
        <f t="shared" si="4207"/>
        <v>170</v>
      </c>
      <c r="CK441" s="72" t="str">
        <f t="shared" si="4208"/>
        <v>-</v>
      </c>
      <c r="CL441" s="72">
        <f t="shared" si="4209"/>
        <v>215</v>
      </c>
      <c r="CM441" s="72" t="str">
        <f t="shared" si="4210"/>
        <v>-</v>
      </c>
      <c r="CN441" s="72">
        <f t="shared" si="4211"/>
        <v>250</v>
      </c>
      <c r="CO441" s="72">
        <f t="shared" si="4212"/>
        <v>256</v>
      </c>
      <c r="CP441" s="72">
        <f t="shared" si="4213"/>
        <v>296</v>
      </c>
      <c r="CQ441" s="72">
        <f t="shared" si="4214"/>
        <v>325</v>
      </c>
      <c r="CR441" s="72">
        <f t="shared" si="4215"/>
        <v>362</v>
      </c>
      <c r="CS441" s="72">
        <f t="shared" si="4216"/>
        <v>382</v>
      </c>
      <c r="CT441" s="23">
        <f t="shared" si="4217"/>
        <v>1</v>
      </c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  <c r="AMO441" s="1"/>
    </row>
    <row r="442" spans="1:1029" x14ac:dyDescent="0.2">
      <c r="A442" s="3" t="str">
        <f t="shared" si="2960"/>
        <v>glr_human__wt</v>
      </c>
      <c r="B442" s="3" t="s">
        <v>32</v>
      </c>
      <c r="C442" s="3" t="s">
        <v>100</v>
      </c>
      <c r="D442" s="3" t="str">
        <f>IFERROR(MID(VLOOKUP($B442,Seqs!$A:$B,2,0),E442,1),"")</f>
        <v>Q</v>
      </c>
      <c r="E442" s="105">
        <v>131</v>
      </c>
      <c r="F442" s="3" t="str">
        <f>IFERROR(MID(VLOOKUP($B442,Seqs!$A:$B,2,0),G442,1),"")</f>
        <v>L</v>
      </c>
      <c r="G442" s="3">
        <v>166</v>
      </c>
      <c r="H442" s="3" t="str">
        <f>IFERROR(MID(VLOOKUP($B442,Seqs!$A:$B,2,0),I442,1),"")</f>
        <v>S</v>
      </c>
      <c r="I442" s="23">
        <v>167</v>
      </c>
      <c r="J442" s="3" t="str">
        <f>IFERROR(MID(VLOOKUP($B442,Seqs!$A:$B,2,0),K442,1),"")</f>
        <v>H</v>
      </c>
      <c r="K442" s="23">
        <v>170</v>
      </c>
      <c r="L442" s="3" t="str">
        <f>IFERROR(MID(VLOOKUP($B442,Seqs!$A:$B,2,0),M442,1),"")</f>
        <v>C</v>
      </c>
      <c r="M442" s="23">
        <v>171</v>
      </c>
      <c r="N442" s="3" t="str">
        <f>IFERROR(MID(VLOOKUP($B442,Seqs!$A:$B,2,0),O442,1),"")</f>
        <v>S</v>
      </c>
      <c r="O442" s="105">
        <v>203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A</v>
      </c>
      <c r="U442" s="3">
        <v>220</v>
      </c>
      <c r="V442" s="3" t="str">
        <f>IFERROR(MID(VLOOKUP($B442,Seqs!$A:$B,2,0),W442,1),"")</f>
        <v>L</v>
      </c>
      <c r="W442" s="3">
        <v>255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S</v>
      </c>
      <c r="AC442" s="9">
        <v>262</v>
      </c>
      <c r="AD442" s="3" t="str">
        <f>IFERROR(MID(VLOOKUP($B442,Seqs!$A:$B,2,0),AE442,1),"")</f>
        <v>E</v>
      </c>
      <c r="AE442" s="3">
        <v>290</v>
      </c>
      <c r="AF442" s="3" t="str">
        <f>IFERROR(MID(VLOOKUP($B442,Seqs!$A:$B,2,0),AG442,1),"")</f>
        <v>C</v>
      </c>
      <c r="AG442" s="3">
        <v>294</v>
      </c>
      <c r="AH442" s="3" t="str">
        <f>IFERROR(MID(VLOOKUP($B442,Seqs!$A:$B,2,0),AI442,1),"")</f>
        <v>T</v>
      </c>
      <c r="AI442" s="3">
        <v>296</v>
      </c>
      <c r="AJ442" s="3" t="str">
        <f>IFERROR(MID(VLOOKUP($B442,Seqs!$A:$B,2,0),AK442,1),"")</f>
        <v>W</v>
      </c>
      <c r="AK442" s="105">
        <v>304</v>
      </c>
      <c r="AL442" s="3" t="str">
        <f>IFERROR(MID(VLOOKUP($B442,Seqs!$A:$B,2,0),AM442,1),"")</f>
        <v>A</v>
      </c>
      <c r="AM442" s="3">
        <v>335</v>
      </c>
      <c r="AN442" s="3" t="str">
        <f>IFERROR(MID(VLOOKUP($B442,Seqs!$A:$B,2,0),AO442,1),"")</f>
        <v>D</v>
      </c>
      <c r="AO442" s="3">
        <v>342</v>
      </c>
      <c r="AP442" s="3" t="str">
        <f>IFERROR(MID(VLOOKUP($B442,Seqs!$A:$B,2,0),AQ442,1),"")</f>
        <v>F</v>
      </c>
      <c r="AQ442" s="3">
        <v>367</v>
      </c>
      <c r="AR442" s="3" t="str">
        <f>IFERROR(MID(VLOOKUP($B442,Seqs!$A:$B,2,0),AS442,1),"")</f>
        <v>Q</v>
      </c>
      <c r="AS442" s="3">
        <v>374</v>
      </c>
      <c r="AT442" s="3" t="str">
        <f>IFERROR(MID(VLOOKUP($B442,Seqs!$A:$B,2,0),AU442,1),"")</f>
        <v>L</v>
      </c>
      <c r="AU442" s="3">
        <v>403</v>
      </c>
      <c r="AV442" s="3" t="str">
        <f>IFERROR(MID(VLOOKUP($B442,Seqs!$A:$B,2,0),AW442,1),"")</f>
        <v>N</v>
      </c>
      <c r="AW442" s="3">
        <v>404</v>
      </c>
      <c r="AX442" s="3" t="str">
        <f>IFERROR(MID(VLOOKUP($B442,Seqs!$A:$B,2,0),AY442,1),"")</f>
        <v>N</v>
      </c>
      <c r="AY442" s="3">
        <v>429</v>
      </c>
      <c r="AZ442" s="77" t="str">
        <f>VLOOKUP(B442,Classification!A:D,2,0)</f>
        <v>B1</v>
      </c>
      <c r="BA442" s="94" t="str">
        <f>VLOOKUP(B442,Classification!A:D,4,0)</f>
        <v>Glucagonreceptorfamily</v>
      </c>
      <c r="BB442" s="27" t="b">
        <f t="shared" si="2961"/>
        <v>1</v>
      </c>
      <c r="BC442" s="23">
        <f t="shared" si="4108"/>
        <v>257</v>
      </c>
      <c r="BD442" s="56" t="s">
        <v>23</v>
      </c>
      <c r="BE442" s="3" t="s">
        <v>23</v>
      </c>
      <c r="BF442" s="118" t="s">
        <v>23</v>
      </c>
      <c r="BG442" s="49" t="s">
        <v>1368</v>
      </c>
      <c r="BH442" s="49" t="s">
        <v>1373</v>
      </c>
      <c r="BI442" s="1"/>
      <c r="BJ442" s="70" t="s">
        <v>1283</v>
      </c>
      <c r="BK442" s="57" t="s">
        <v>1283</v>
      </c>
      <c r="BL442" s="57" t="s">
        <v>1283</v>
      </c>
      <c r="BM442" s="57" t="s">
        <v>1283</v>
      </c>
      <c r="BN442" s="57" t="s">
        <v>1283</v>
      </c>
      <c r="BO442" s="57" t="s">
        <v>1283</v>
      </c>
      <c r="BP442" s="57" t="s">
        <v>1283</v>
      </c>
      <c r="BQ442" s="57" t="s">
        <v>1283</v>
      </c>
      <c r="BR442" s="57" t="s">
        <v>1283</v>
      </c>
      <c r="BS442" s="57" t="s">
        <v>1283</v>
      </c>
      <c r="BT442" s="57" t="s">
        <v>1283</v>
      </c>
      <c r="BU442" s="57" t="s">
        <v>1283</v>
      </c>
      <c r="BV442" s="70">
        <f t="shared" si="4109"/>
        <v>131</v>
      </c>
      <c r="BW442" s="71">
        <f t="shared" si="4110"/>
        <v>167</v>
      </c>
      <c r="BX442" s="72">
        <f t="shared" si="4111"/>
        <v>171</v>
      </c>
      <c r="BY442" s="71" t="str">
        <f t="shared" si="4112"/>
        <v>-</v>
      </c>
      <c r="BZ442" s="72">
        <f t="shared" si="4113"/>
        <v>220</v>
      </c>
      <c r="CA442" s="71" t="str">
        <f t="shared" si="4114"/>
        <v>-</v>
      </c>
      <c r="CB442" s="72">
        <f t="shared" si="4115"/>
        <v>262</v>
      </c>
      <c r="CC442" s="71">
        <f t="shared" si="4116"/>
        <v>294</v>
      </c>
      <c r="CD442" s="72">
        <f t="shared" si="4117"/>
        <v>304</v>
      </c>
      <c r="CE442" s="71">
        <f t="shared" si="4118"/>
        <v>342</v>
      </c>
      <c r="CF442" s="72">
        <f t="shared" si="4119"/>
        <v>374</v>
      </c>
      <c r="CG442" s="71">
        <f t="shared" si="4120"/>
        <v>404</v>
      </c>
      <c r="CH442" s="70">
        <f t="shared" si="4121"/>
        <v>166</v>
      </c>
      <c r="CI442" s="71">
        <f t="shared" si="4122"/>
        <v>170</v>
      </c>
      <c r="CJ442" s="72">
        <f t="shared" si="4123"/>
        <v>203</v>
      </c>
      <c r="CK442" s="72" t="str">
        <f t="shared" si="4124"/>
        <v>-</v>
      </c>
      <c r="CL442" s="72">
        <f t="shared" si="4125"/>
        <v>255</v>
      </c>
      <c r="CM442" s="72" t="str">
        <f t="shared" si="4126"/>
        <v>-</v>
      </c>
      <c r="CN442" s="72">
        <f t="shared" si="4127"/>
        <v>290</v>
      </c>
      <c r="CO442" s="72">
        <f t="shared" si="4128"/>
        <v>296</v>
      </c>
      <c r="CP442" s="72">
        <f t="shared" si="4129"/>
        <v>335</v>
      </c>
      <c r="CQ442" s="72">
        <f t="shared" si="4130"/>
        <v>367</v>
      </c>
      <c r="CR442" s="72">
        <f t="shared" si="4131"/>
        <v>403</v>
      </c>
      <c r="CS442" s="72">
        <f t="shared" si="4132"/>
        <v>429</v>
      </c>
      <c r="CT442" s="23">
        <f t="shared" si="4133"/>
        <v>1</v>
      </c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  <c r="AMO442" s="1"/>
    </row>
    <row r="443" spans="1:1029" x14ac:dyDescent="0.2">
      <c r="A443" s="3" t="str">
        <f t="shared" si="2960"/>
        <v>glr_human_4L6R</v>
      </c>
      <c r="B443" s="3" t="s">
        <v>32</v>
      </c>
      <c r="C443" s="3" t="s">
        <v>51</v>
      </c>
      <c r="D443" s="3" t="str">
        <f>IFERROR(MID(VLOOKUP($B443,Seqs!$A:$B,2,0),E443,1),"")</f>
        <v>G</v>
      </c>
      <c r="E443" s="3">
        <v>125</v>
      </c>
      <c r="F443" s="3" t="str">
        <f>IFERROR(MID(VLOOKUP($B443,Seqs!$A:$B,2,0),G443,1),"")</f>
        <v>G</v>
      </c>
      <c r="G443" s="3">
        <v>164</v>
      </c>
      <c r="H443" s="3" t="str">
        <f>IFERROR(MID(VLOOKUP($B443,Seqs!$A:$B,2,0),I443,1),"")</f>
        <v>S</v>
      </c>
      <c r="I443" s="23">
        <v>167</v>
      </c>
      <c r="J443" s="3" t="str">
        <f>IFERROR(MID(VLOOKUP($B443,Seqs!$A:$B,2,0),K443,1),"")</f>
        <v>H</v>
      </c>
      <c r="K443" s="23">
        <v>170</v>
      </c>
      <c r="L443" s="3" t="str">
        <f>IFERROR(MID(VLOOKUP($B443,Seqs!$A:$B,2,0),M443,1),"")</f>
        <v>C</v>
      </c>
      <c r="M443" s="23">
        <v>171</v>
      </c>
      <c r="N443" s="3" t="str">
        <f>IFERROR(MID(VLOOKUP($B443,Seqs!$A:$B,2,0),O443,1),"")</f>
        <v>R</v>
      </c>
      <c r="O443" s="3">
        <v>199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S</v>
      </c>
      <c r="U443" s="3">
        <v>217</v>
      </c>
      <c r="V443" s="3" t="str">
        <f>IFERROR(MID(VLOOKUP($B443,Seqs!$A:$B,2,0),W443,1),"")</f>
        <v>L</v>
      </c>
      <c r="W443" s="3">
        <v>255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A</v>
      </c>
      <c r="AC443" s="9">
        <v>274</v>
      </c>
      <c r="AD443" s="3" t="str">
        <f>IFERROR(MID(VLOOKUP($B443,Seqs!$A:$B,2,0),AE443,1),"")</f>
        <v>E</v>
      </c>
      <c r="AE443" s="3">
        <v>290</v>
      </c>
      <c r="AF443" s="3" t="str">
        <f>IFERROR(MID(VLOOKUP($B443,Seqs!$A:$B,2,0),AG443,1),"")</f>
        <v>C</v>
      </c>
      <c r="AG443" s="3">
        <v>294</v>
      </c>
      <c r="AH443" s="3" t="str">
        <f>IFERROR(MID(VLOOKUP($B443,Seqs!$A:$B,2,0),AI443,1),"")</f>
        <v>T</v>
      </c>
      <c r="AI443" s="3">
        <v>296</v>
      </c>
      <c r="AJ443" s="3" t="str">
        <f>IFERROR(MID(VLOOKUP($B443,Seqs!$A:$B,2,0),AK443,1),"")</f>
        <v>N</v>
      </c>
      <c r="AK443" s="3">
        <v>300</v>
      </c>
      <c r="AL443" s="3" t="str">
        <f>IFERROR(MID(VLOOKUP($B443,Seqs!$A:$B,2,0),AM443,1),"")</f>
        <v>A</v>
      </c>
      <c r="AM443" s="3">
        <v>335</v>
      </c>
      <c r="AN443" s="3" t="str">
        <f>IFERROR(MID(VLOOKUP($B443,Seqs!$A:$B,2,0),AO443,1),"")</f>
        <v>D</v>
      </c>
      <c r="AO443" s="3">
        <v>342</v>
      </c>
      <c r="AP443" s="3" t="str">
        <f>IFERROR(MID(VLOOKUP($B443,Seqs!$A:$B,2,0),AQ443,1),"")</f>
        <v>F</v>
      </c>
      <c r="AQ443" s="3">
        <v>367</v>
      </c>
      <c r="AR443" s="3" t="str">
        <f>IFERROR(MID(VLOOKUP($B443,Seqs!$A:$B,2,0),AS443,1),"")</f>
        <v>Q</v>
      </c>
      <c r="AS443" s="3">
        <v>374</v>
      </c>
      <c r="AT443" s="3" t="str">
        <f>IFERROR(MID(VLOOKUP($B443,Seqs!$A:$B,2,0),AU443,1),"")</f>
        <v>L</v>
      </c>
      <c r="AU443" s="3">
        <v>403</v>
      </c>
      <c r="AV443" s="3" t="str">
        <f>IFERROR(MID(VLOOKUP($B443,Seqs!$A:$B,2,0),AW443,1),"")</f>
        <v>N</v>
      </c>
      <c r="AW443" s="3">
        <v>404</v>
      </c>
      <c r="AX443" s="3" t="str">
        <f>IFERROR(MID(VLOOKUP($B443,Seqs!$A:$B,2,0),AY443,1),"")</f>
        <v>N</v>
      </c>
      <c r="AY443" s="3">
        <v>429</v>
      </c>
      <c r="AZ443" s="77" t="str">
        <f>VLOOKUP(B443,Classification!A:D,2,0)</f>
        <v>B1</v>
      </c>
      <c r="BA443" s="94" t="str">
        <f>VLOOKUP(B443,Classification!A:D,4,0)</f>
        <v>Glucagonreceptorfamily</v>
      </c>
      <c r="BB443" s="27" t="b">
        <f t="shared" si="2961"/>
        <v>1</v>
      </c>
      <c r="BC443" s="23">
        <f t="shared" si="4108"/>
        <v>252</v>
      </c>
      <c r="BD443" s="2" t="s">
        <v>23</v>
      </c>
      <c r="BE443" s="3" t="s">
        <v>1370</v>
      </c>
      <c r="BF443" s="118">
        <v>3.3</v>
      </c>
      <c r="BG443" s="49" t="s">
        <v>1373</v>
      </c>
      <c r="BH443" s="49" t="s">
        <v>1373</v>
      </c>
      <c r="BI443" s="1"/>
      <c r="BJ443" s="70" t="s">
        <v>1283</v>
      </c>
      <c r="BK443" s="57" t="s">
        <v>1283</v>
      </c>
      <c r="BL443" s="57" t="s">
        <v>1283</v>
      </c>
      <c r="BM443" s="57" t="s">
        <v>1283</v>
      </c>
      <c r="BN443" s="57" t="s">
        <v>1283</v>
      </c>
      <c r="BO443" s="57" t="s">
        <v>1283</v>
      </c>
      <c r="BP443" s="57" t="s">
        <v>1283</v>
      </c>
      <c r="BQ443" s="57" t="s">
        <v>1283</v>
      </c>
      <c r="BR443" s="57" t="s">
        <v>1283</v>
      </c>
      <c r="BS443" s="57" t="s">
        <v>1283</v>
      </c>
      <c r="BT443" s="57" t="s">
        <v>1283</v>
      </c>
      <c r="BU443" s="57" t="s">
        <v>1283</v>
      </c>
      <c r="BV443" s="70">
        <f t="shared" si="4109"/>
        <v>125</v>
      </c>
      <c r="BW443" s="71">
        <f t="shared" si="4110"/>
        <v>167</v>
      </c>
      <c r="BX443" s="72">
        <f t="shared" si="4111"/>
        <v>171</v>
      </c>
      <c r="BY443" s="71" t="str">
        <f t="shared" si="4112"/>
        <v>-</v>
      </c>
      <c r="BZ443" s="72">
        <f t="shared" si="4113"/>
        <v>217</v>
      </c>
      <c r="CA443" s="71" t="str">
        <f t="shared" si="4114"/>
        <v>-</v>
      </c>
      <c r="CB443" s="72">
        <f t="shared" si="4115"/>
        <v>274</v>
      </c>
      <c r="CC443" s="71">
        <f t="shared" si="4116"/>
        <v>294</v>
      </c>
      <c r="CD443" s="72">
        <f t="shared" si="4117"/>
        <v>300</v>
      </c>
      <c r="CE443" s="71">
        <f t="shared" si="4118"/>
        <v>342</v>
      </c>
      <c r="CF443" s="72">
        <f t="shared" si="4119"/>
        <v>374</v>
      </c>
      <c r="CG443" s="71">
        <f t="shared" si="4120"/>
        <v>404</v>
      </c>
      <c r="CH443" s="70">
        <f t="shared" si="4121"/>
        <v>164</v>
      </c>
      <c r="CI443" s="71">
        <f t="shared" si="4122"/>
        <v>170</v>
      </c>
      <c r="CJ443" s="72">
        <f t="shared" si="4123"/>
        <v>199</v>
      </c>
      <c r="CK443" s="72" t="str">
        <f t="shared" si="4124"/>
        <v>-</v>
      </c>
      <c r="CL443" s="72">
        <f t="shared" si="4125"/>
        <v>255</v>
      </c>
      <c r="CM443" s="72" t="str">
        <f t="shared" si="4126"/>
        <v>-</v>
      </c>
      <c r="CN443" s="72">
        <f t="shared" si="4127"/>
        <v>290</v>
      </c>
      <c r="CO443" s="72">
        <f t="shared" si="4128"/>
        <v>296</v>
      </c>
      <c r="CP443" s="72">
        <f t="shared" si="4129"/>
        <v>335</v>
      </c>
      <c r="CQ443" s="72">
        <f t="shared" si="4130"/>
        <v>367</v>
      </c>
      <c r="CR443" s="72">
        <f t="shared" si="4131"/>
        <v>403</v>
      </c>
      <c r="CS443" s="72">
        <f t="shared" si="4132"/>
        <v>429</v>
      </c>
      <c r="CT443" s="23">
        <f t="shared" si="4133"/>
        <v>1</v>
      </c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  <c r="AMO443" s="1"/>
    </row>
    <row r="444" spans="1:1029" x14ac:dyDescent="0.2">
      <c r="A444" s="3" t="str">
        <f t="shared" si="2960"/>
        <v>glr_human_4L6R_dist</v>
      </c>
      <c r="B444" s="3" t="s">
        <v>32</v>
      </c>
      <c r="C444" s="3" t="s">
        <v>1272</v>
      </c>
      <c r="D444" s="3" t="str">
        <f>IFERROR(MID(VLOOKUP($B444,Seqs!$A:$B,2,0),E444,1),"")</f>
        <v>G</v>
      </c>
      <c r="E444" s="3">
        <v>125</v>
      </c>
      <c r="F444" s="3" t="str">
        <f>IFERROR(MID(VLOOKUP($B444,Seqs!$A:$B,2,0),G444,1),"")</f>
        <v>G</v>
      </c>
      <c r="G444" s="3">
        <v>164</v>
      </c>
      <c r="H444" s="3" t="str">
        <f>IFERROR(MID(VLOOKUP($B444,Seqs!$A:$B,2,0),I444,1),"")</f>
        <v>S</v>
      </c>
      <c r="I444" s="23">
        <v>167</v>
      </c>
      <c r="J444" s="3" t="str">
        <f>IFERROR(MID(VLOOKUP($B444,Seqs!$A:$B,2,0),K444,1),"")</f>
        <v>H</v>
      </c>
      <c r="K444" s="23">
        <v>170</v>
      </c>
      <c r="L444" s="3" t="str">
        <f>IFERROR(MID(VLOOKUP($B444,Seqs!$A:$B,2,0),M444,1),"")</f>
        <v>C</v>
      </c>
      <c r="M444" s="23">
        <v>171</v>
      </c>
      <c r="N444" s="3" t="str">
        <f>IFERROR(MID(VLOOKUP($B444,Seqs!$A:$B,2,0),O444,1),"")</f>
        <v>R</v>
      </c>
      <c r="O444" s="3">
        <v>199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S</v>
      </c>
      <c r="U444" s="3">
        <v>217</v>
      </c>
      <c r="V444" s="3" t="str">
        <f>IFERROR(MID(VLOOKUP($B444,Seqs!$A:$B,2,0),W444,1),"")</f>
        <v>L</v>
      </c>
      <c r="W444" s="3">
        <v>255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S</v>
      </c>
      <c r="AC444" s="9">
        <v>262</v>
      </c>
      <c r="AD444" s="3" t="str">
        <f>IFERROR(MID(VLOOKUP($B444,Seqs!$A:$B,2,0),AE444,1),"")</f>
        <v>E</v>
      </c>
      <c r="AE444" s="3">
        <v>290</v>
      </c>
      <c r="AF444" s="3" t="str">
        <f>IFERROR(MID(VLOOKUP($B444,Seqs!$A:$B,2,0),AG444,1),"")</f>
        <v>C</v>
      </c>
      <c r="AG444" s="3">
        <v>294</v>
      </c>
      <c r="AH444" s="3" t="str">
        <f>IFERROR(MID(VLOOKUP($B444,Seqs!$A:$B,2,0),AI444,1),"")</f>
        <v>T</v>
      </c>
      <c r="AI444" s="3">
        <v>296</v>
      </c>
      <c r="AJ444" s="3" t="str">
        <f>IFERROR(MID(VLOOKUP($B444,Seqs!$A:$B,2,0),AK444,1),"")</f>
        <v>N</v>
      </c>
      <c r="AK444" s="3">
        <v>300</v>
      </c>
      <c r="AL444" s="3" t="str">
        <f>IFERROR(MID(VLOOKUP($B444,Seqs!$A:$B,2,0),AM444,1),"")</f>
        <v>A</v>
      </c>
      <c r="AM444" s="3">
        <v>335</v>
      </c>
      <c r="AN444" s="3" t="str">
        <f>IFERROR(MID(VLOOKUP($B444,Seqs!$A:$B,2,0),AO444,1),"")</f>
        <v>D</v>
      </c>
      <c r="AO444" s="3">
        <v>342</v>
      </c>
      <c r="AP444" s="3" t="str">
        <f>IFERROR(MID(VLOOKUP($B444,Seqs!$A:$B,2,0),AQ444,1),"")</f>
        <v>F</v>
      </c>
      <c r="AQ444" s="3">
        <v>367</v>
      </c>
      <c r="AR444" s="3" t="str">
        <f>IFERROR(MID(VLOOKUP($B444,Seqs!$A:$B,2,0),AS444,1),"")</f>
        <v>Q</v>
      </c>
      <c r="AS444" s="3">
        <v>374</v>
      </c>
      <c r="AT444" s="3" t="str">
        <f>IFERROR(MID(VLOOKUP($B444,Seqs!$A:$B,2,0),AU444,1),"")</f>
        <v>L</v>
      </c>
      <c r="AU444" s="3">
        <v>403</v>
      </c>
      <c r="AV444" s="3" t="str">
        <f>IFERROR(MID(VLOOKUP($B444,Seqs!$A:$B,2,0),AW444,1),"")</f>
        <v>N</v>
      </c>
      <c r="AW444" s="3">
        <v>404</v>
      </c>
      <c r="AX444" s="3" t="str">
        <f>IFERROR(MID(VLOOKUP($B444,Seqs!$A:$B,2,0),AY444,1),"")</f>
        <v>N</v>
      </c>
      <c r="AY444" s="3">
        <v>429</v>
      </c>
      <c r="AZ444" s="77" t="str">
        <f>VLOOKUP(B444,Classification!A:D,2,0)</f>
        <v>B1</v>
      </c>
      <c r="BA444" s="94" t="str">
        <f>VLOOKUP(B444,Classification!A:D,4,0)</f>
        <v>Glucagonreceptorfamily</v>
      </c>
      <c r="BB444" s="27" t="b">
        <f t="shared" si="2961"/>
        <v>1</v>
      </c>
      <c r="BC444" s="23">
        <f t="shared" si="4108"/>
        <v>264</v>
      </c>
      <c r="BD444" s="56" t="s">
        <v>23</v>
      </c>
      <c r="BE444" s="3" t="s">
        <v>1370</v>
      </c>
      <c r="BF444" s="118">
        <v>3.3</v>
      </c>
      <c r="BG444" s="49" t="s">
        <v>1373</v>
      </c>
      <c r="BH444" s="49" t="s">
        <v>1373</v>
      </c>
      <c r="BI444" s="1"/>
      <c r="BJ444" s="70" t="s">
        <v>1283</v>
      </c>
      <c r="BK444" s="57" t="s">
        <v>1283</v>
      </c>
      <c r="BL444" s="57" t="s">
        <v>1283</v>
      </c>
      <c r="BM444" s="57" t="s">
        <v>1283</v>
      </c>
      <c r="BN444" s="57" t="s">
        <v>1283</v>
      </c>
      <c r="BO444" s="57" t="s">
        <v>1283</v>
      </c>
      <c r="BP444" s="57" t="s">
        <v>1283</v>
      </c>
      <c r="BQ444" s="57" t="s">
        <v>1283</v>
      </c>
      <c r="BR444" s="57" t="s">
        <v>1283</v>
      </c>
      <c r="BS444" s="57" t="s">
        <v>1283</v>
      </c>
      <c r="BT444" s="57" t="s">
        <v>1283</v>
      </c>
      <c r="BU444" s="57" t="s">
        <v>1283</v>
      </c>
      <c r="BV444" s="70">
        <f t="shared" si="4109"/>
        <v>125</v>
      </c>
      <c r="BW444" s="71">
        <f t="shared" si="4110"/>
        <v>167</v>
      </c>
      <c r="BX444" s="72">
        <f t="shared" si="4111"/>
        <v>171</v>
      </c>
      <c r="BY444" s="71" t="str">
        <f t="shared" si="4112"/>
        <v>-</v>
      </c>
      <c r="BZ444" s="72">
        <f t="shared" si="4113"/>
        <v>217</v>
      </c>
      <c r="CA444" s="71" t="str">
        <f t="shared" si="4114"/>
        <v>-</v>
      </c>
      <c r="CB444" s="72">
        <f t="shared" si="4115"/>
        <v>262</v>
      </c>
      <c r="CC444" s="71">
        <f t="shared" si="4116"/>
        <v>294</v>
      </c>
      <c r="CD444" s="72">
        <f t="shared" si="4117"/>
        <v>300</v>
      </c>
      <c r="CE444" s="71">
        <f t="shared" si="4118"/>
        <v>342</v>
      </c>
      <c r="CF444" s="72">
        <f t="shared" si="4119"/>
        <v>374</v>
      </c>
      <c r="CG444" s="71">
        <f t="shared" si="4120"/>
        <v>404</v>
      </c>
      <c r="CH444" s="70">
        <f t="shared" si="4121"/>
        <v>164</v>
      </c>
      <c r="CI444" s="71">
        <f t="shared" si="4122"/>
        <v>170</v>
      </c>
      <c r="CJ444" s="72">
        <f t="shared" si="4123"/>
        <v>199</v>
      </c>
      <c r="CK444" s="72" t="str">
        <f t="shared" si="4124"/>
        <v>-</v>
      </c>
      <c r="CL444" s="72">
        <f t="shared" si="4125"/>
        <v>255</v>
      </c>
      <c r="CM444" s="72" t="str">
        <f t="shared" si="4126"/>
        <v>-</v>
      </c>
      <c r="CN444" s="72">
        <f t="shared" si="4127"/>
        <v>290</v>
      </c>
      <c r="CO444" s="72">
        <f t="shared" si="4128"/>
        <v>296</v>
      </c>
      <c r="CP444" s="72">
        <f t="shared" si="4129"/>
        <v>335</v>
      </c>
      <c r="CQ444" s="72">
        <f t="shared" si="4130"/>
        <v>367</v>
      </c>
      <c r="CR444" s="72">
        <f t="shared" si="4131"/>
        <v>403</v>
      </c>
      <c r="CS444" s="72">
        <f t="shared" si="4132"/>
        <v>429</v>
      </c>
      <c r="CT444" s="23">
        <f t="shared" si="4133"/>
        <v>1</v>
      </c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</row>
    <row r="445" spans="1:1029" x14ac:dyDescent="0.2">
      <c r="A445" s="3" t="str">
        <f t="shared" ref="A445:A509" si="4218">CONCATENATE(B445,"_",C445)</f>
        <v>glr_human_5EE7</v>
      </c>
      <c r="B445" s="3" t="s">
        <v>32</v>
      </c>
      <c r="C445" s="3" t="s">
        <v>49</v>
      </c>
      <c r="D445" s="3" t="str">
        <f>IFERROR(MID(VLOOKUP($B445,Seqs!$A:$B,2,0),E445,1),"")</f>
        <v>Y</v>
      </c>
      <c r="E445" s="3">
        <v>138</v>
      </c>
      <c r="F445" s="3" t="str">
        <f>IFERROR(MID(VLOOKUP($B445,Seqs!$A:$B,2,0),G445,1),"")</f>
        <v>L</v>
      </c>
      <c r="G445" s="3">
        <v>166</v>
      </c>
      <c r="H445" s="3" t="str">
        <f>IFERROR(MID(VLOOKUP($B445,Seqs!$A:$B,2,0),I445,1),"")</f>
        <v>S</v>
      </c>
      <c r="I445" s="23">
        <v>167</v>
      </c>
      <c r="J445" s="3" t="str">
        <f>IFERROR(MID(VLOOKUP($B445,Seqs!$A:$B,2,0),K445,1),"")</f>
        <v>H</v>
      </c>
      <c r="K445" s="23">
        <v>170</v>
      </c>
      <c r="L445" s="3" t="str">
        <f>IFERROR(MID(VLOOKUP($B445,Seqs!$A:$B,2,0),M445,1),"")</f>
        <v>C</v>
      </c>
      <c r="M445" s="23">
        <v>171</v>
      </c>
      <c r="N445" s="3" t="str">
        <f>IFERROR(MID(VLOOKUP($B445,Seqs!$A:$B,2,0),O445,1),"")</f>
        <v>R</v>
      </c>
      <c r="O445" s="3">
        <v>199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D</v>
      </c>
      <c r="U445" s="3">
        <v>218</v>
      </c>
      <c r="V445" s="3" t="str">
        <f>IFERROR(MID(VLOOKUP($B445,Seqs!$A:$B,2,0),W445,1),"")</f>
        <v>G</v>
      </c>
      <c r="W445" s="3">
        <v>254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S</v>
      </c>
      <c r="AC445" s="9">
        <v>262</v>
      </c>
      <c r="AD445" s="3" t="str">
        <f>IFERROR(MID(VLOOKUP($B445,Seqs!$A:$B,2,0),AE445,1),"")</f>
        <v>E</v>
      </c>
      <c r="AE445" s="3">
        <v>290</v>
      </c>
      <c r="AF445" s="3" t="str">
        <f>IFERROR(MID(VLOOKUP($B445,Seqs!$A:$B,2,0),AG445,1),"")</f>
        <v>C</v>
      </c>
      <c r="AG445" s="3">
        <v>294</v>
      </c>
      <c r="AH445" s="3" t="str">
        <f>IFERROR(MID(VLOOKUP($B445,Seqs!$A:$B,2,0),AI445,1),"")</f>
        <v>T</v>
      </c>
      <c r="AI445" s="3">
        <v>296</v>
      </c>
      <c r="AJ445" s="3" t="str">
        <f>IFERROR(MID(VLOOKUP($B445,Seqs!$A:$B,2,0),AK445,1),"")</f>
        <v>L</v>
      </c>
      <c r="AK445" s="105">
        <v>307</v>
      </c>
      <c r="AL445" s="3" t="str">
        <f>IFERROR(MID(VLOOKUP($B445,Seqs!$A:$B,2,0),AM445,1),"")</f>
        <v>A</v>
      </c>
      <c r="AM445" s="3">
        <v>335</v>
      </c>
      <c r="AN445" s="3" t="str">
        <f>IFERROR(MID(VLOOKUP($B445,Seqs!$A:$B,2,0),AO445,1),"")</f>
        <v>D</v>
      </c>
      <c r="AO445" s="3">
        <v>342</v>
      </c>
      <c r="AP445" s="3" t="str">
        <f>IFERROR(MID(VLOOKUP($B445,Seqs!$A:$B,2,0),AQ445,1),"")</f>
        <v>D</v>
      </c>
      <c r="AQ445" s="3">
        <v>370</v>
      </c>
      <c r="AR445" s="3" t="str">
        <f>IFERROR(MID(VLOOKUP($B445,Seqs!$A:$B,2,0),AS445,1),"")</f>
        <v>S</v>
      </c>
      <c r="AS445" s="3">
        <v>379</v>
      </c>
      <c r="AT445" s="3" t="str">
        <f>IFERROR(MID(VLOOKUP($B445,Seqs!$A:$B,2,0),AU445,1),"")</f>
        <v>F</v>
      </c>
      <c r="AU445" s="3">
        <v>402</v>
      </c>
      <c r="AV445" s="3" t="str">
        <f>IFERROR(MID(VLOOKUP($B445,Seqs!$A:$B,2,0),AW445,1),"")</f>
        <v>N</v>
      </c>
      <c r="AW445" s="3">
        <v>404</v>
      </c>
      <c r="AX445" s="3" t="str">
        <f>IFERROR(MID(VLOOKUP($B445,Seqs!$A:$B,2,0),AY445,1),"")</f>
        <v>R</v>
      </c>
      <c r="AY445" s="3">
        <v>417</v>
      </c>
      <c r="AZ445" s="77" t="str">
        <f>VLOOKUP(B445,Classification!A:D,2,0)</f>
        <v>B1</v>
      </c>
      <c r="BA445" s="94" t="str">
        <f>VLOOKUP(B445,Classification!A:D,4,0)</f>
        <v>Glucagonreceptorfamily</v>
      </c>
      <c r="BB445" s="27" t="b">
        <f t="shared" ref="BB445:BB509" si="4219"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23">
        <f t="shared" si="4108"/>
        <v>229</v>
      </c>
      <c r="BD445" s="4" t="s">
        <v>23</v>
      </c>
      <c r="BE445" s="3" t="s">
        <v>1370</v>
      </c>
      <c r="BF445" s="118">
        <v>2.5</v>
      </c>
      <c r="BG445" s="49" t="s">
        <v>1373</v>
      </c>
      <c r="BH445" s="49" t="s">
        <v>1373</v>
      </c>
      <c r="BI445" s="1"/>
      <c r="BJ445" s="70" t="s">
        <v>1283</v>
      </c>
      <c r="BK445" s="57" t="s">
        <v>1283</v>
      </c>
      <c r="BL445" s="57" t="s">
        <v>1283</v>
      </c>
      <c r="BM445" s="57" t="s">
        <v>1283</v>
      </c>
      <c r="BN445" s="57" t="s">
        <v>1283</v>
      </c>
      <c r="BO445" s="57" t="s">
        <v>1283</v>
      </c>
      <c r="BP445" s="57" t="s">
        <v>1283</v>
      </c>
      <c r="BQ445" s="57" t="s">
        <v>1283</v>
      </c>
      <c r="BR445" s="57" t="s">
        <v>1283</v>
      </c>
      <c r="BS445" s="57" t="s">
        <v>1283</v>
      </c>
      <c r="BT445" s="57" t="s">
        <v>1283</v>
      </c>
      <c r="BU445" s="57" t="s">
        <v>1283</v>
      </c>
      <c r="BV445" s="70">
        <f t="shared" si="4109"/>
        <v>138</v>
      </c>
      <c r="BW445" s="71">
        <f t="shared" si="4110"/>
        <v>167</v>
      </c>
      <c r="BX445" s="72">
        <f t="shared" si="4111"/>
        <v>171</v>
      </c>
      <c r="BY445" s="71" t="str">
        <f t="shared" si="4112"/>
        <v>-</v>
      </c>
      <c r="BZ445" s="72">
        <f t="shared" si="4113"/>
        <v>218</v>
      </c>
      <c r="CA445" s="71" t="str">
        <f t="shared" si="4114"/>
        <v>-</v>
      </c>
      <c r="CB445" s="72">
        <f t="shared" si="4115"/>
        <v>262</v>
      </c>
      <c r="CC445" s="71">
        <f t="shared" si="4116"/>
        <v>294</v>
      </c>
      <c r="CD445" s="72">
        <f t="shared" si="4117"/>
        <v>307</v>
      </c>
      <c r="CE445" s="71">
        <f t="shared" si="4118"/>
        <v>342</v>
      </c>
      <c r="CF445" s="72">
        <f t="shared" si="4119"/>
        <v>379</v>
      </c>
      <c r="CG445" s="71">
        <f t="shared" si="4120"/>
        <v>404</v>
      </c>
      <c r="CH445" s="70">
        <f t="shared" si="4121"/>
        <v>166</v>
      </c>
      <c r="CI445" s="71">
        <f t="shared" si="4122"/>
        <v>170</v>
      </c>
      <c r="CJ445" s="72">
        <f t="shared" si="4123"/>
        <v>199</v>
      </c>
      <c r="CK445" s="72" t="str">
        <f t="shared" si="4124"/>
        <v>-</v>
      </c>
      <c r="CL445" s="72">
        <f t="shared" si="4125"/>
        <v>254</v>
      </c>
      <c r="CM445" s="72" t="str">
        <f t="shared" si="4126"/>
        <v>-</v>
      </c>
      <c r="CN445" s="72">
        <f t="shared" si="4127"/>
        <v>290</v>
      </c>
      <c r="CO445" s="72">
        <f t="shared" si="4128"/>
        <v>296</v>
      </c>
      <c r="CP445" s="72">
        <f t="shared" si="4129"/>
        <v>335</v>
      </c>
      <c r="CQ445" s="72">
        <f t="shared" si="4130"/>
        <v>370</v>
      </c>
      <c r="CR445" s="72">
        <f t="shared" si="4131"/>
        <v>402</v>
      </c>
      <c r="CS445" s="72">
        <f t="shared" si="4132"/>
        <v>417</v>
      </c>
      <c r="CT445" s="23">
        <f t="shared" si="4133"/>
        <v>1</v>
      </c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</row>
    <row r="446" spans="1:1029" x14ac:dyDescent="0.2">
      <c r="A446" s="3" t="str">
        <f t="shared" ref="A446:A465" si="4220">CONCATENATE(B446,"_",C446)</f>
        <v>glr_human_5XEZ</v>
      </c>
      <c r="B446" s="3" t="s">
        <v>32</v>
      </c>
      <c r="C446" s="3" t="s">
        <v>1405</v>
      </c>
      <c r="D446" s="3" t="str">
        <f>IFERROR(MID(VLOOKUP($B446,Seqs!$A:$B,2,0),E446,1),"")</f>
        <v>Q</v>
      </c>
      <c r="E446" s="3">
        <v>131</v>
      </c>
      <c r="F446" s="3" t="str">
        <f>IFERROR(MID(VLOOKUP($B446,Seqs!$A:$B,2,0),G446,1),"")</f>
        <v>G</v>
      </c>
      <c r="G446" s="3">
        <v>164</v>
      </c>
      <c r="H446" s="3" t="str">
        <f>IFERROR(MID(VLOOKUP($B446,Seqs!$A:$B,2,0),I446,1),"")</f>
        <v>S</v>
      </c>
      <c r="I446" s="23">
        <v>167</v>
      </c>
      <c r="J446" s="3" t="str">
        <f>IFERROR(MID(VLOOKUP($B446,Seqs!$A:$B,2,0),K446,1),"")</f>
        <v>H</v>
      </c>
      <c r="K446" s="23">
        <v>170</v>
      </c>
      <c r="L446" s="3" t="str">
        <f>IFERROR(MID(VLOOKUP($B446,Seqs!$A:$B,2,0),M446,1),"")</f>
        <v>C</v>
      </c>
      <c r="M446" s="23">
        <v>171</v>
      </c>
      <c r="N446" s="3" t="str">
        <f>IFERROR(MID(VLOOKUP($B446,Seqs!$A:$B,2,0),O446,1),"")</f>
        <v>R</v>
      </c>
      <c r="O446" s="3">
        <v>201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S</v>
      </c>
      <c r="U446" s="3">
        <v>217</v>
      </c>
      <c r="V446" s="3" t="str">
        <f>IFERROR(MID(VLOOKUP($B446,Seqs!$A:$B,2,0),W446,1),"")</f>
        <v>L</v>
      </c>
      <c r="W446" s="3">
        <v>255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E</v>
      </c>
      <c r="AC446" s="3">
        <v>260</v>
      </c>
      <c r="AD446" s="3" t="str">
        <f>IFERROR(MID(VLOOKUP($B446,Seqs!$A:$B,2,0),AE446,1),"")</f>
        <v>E</v>
      </c>
      <c r="AE446" s="3">
        <v>290</v>
      </c>
      <c r="AF446" s="3" t="str">
        <f>IFERROR(MID(VLOOKUP($B446,Seqs!$A:$B,2,0),AG446,1),"")</f>
        <v>C</v>
      </c>
      <c r="AG446" s="3">
        <v>294</v>
      </c>
      <c r="AH446" s="3" t="str">
        <f>IFERROR(MID(VLOOKUP($B446,Seqs!$A:$B,2,0),AI446,1),"")</f>
        <v>T</v>
      </c>
      <c r="AI446" s="3">
        <v>296</v>
      </c>
      <c r="AJ446" s="3" t="str">
        <f>IFERROR(MID(VLOOKUP($B446,Seqs!$A:$B,2,0),AK446,1),"")</f>
        <v>D</v>
      </c>
      <c r="AK446" s="3">
        <v>299</v>
      </c>
      <c r="AL446" s="3" t="str">
        <f>IFERROR(MID(VLOOKUP($B446,Seqs!$A:$B,2,0),AM446,1),"")</f>
        <v>R</v>
      </c>
      <c r="AM446" s="3">
        <v>334</v>
      </c>
      <c r="AN446" s="3" t="str">
        <f>IFERROR(MID(VLOOKUP($B446,Seqs!$A:$B,2,0),AO446,1),"")</f>
        <v>D</v>
      </c>
      <c r="AO446" s="3">
        <v>342</v>
      </c>
      <c r="AP446" s="3" t="str">
        <f>IFERROR(MID(VLOOKUP($B446,Seqs!$A:$B,2,0),AQ446,1),"")</f>
        <v>F</v>
      </c>
      <c r="AQ446" s="3">
        <v>367</v>
      </c>
      <c r="AR446" s="3" t="str">
        <f>IFERROR(MID(VLOOKUP($B446,Seqs!$A:$B,2,0),AS446,1),"")</f>
        <v>G</v>
      </c>
      <c r="AS446" s="3">
        <v>375</v>
      </c>
      <c r="AT446" s="3" t="str">
        <f>IFERROR(MID(VLOOKUP($B446,Seqs!$A:$B,2,0),AU446,1),"")</f>
        <v>L</v>
      </c>
      <c r="AU446" s="3">
        <v>403</v>
      </c>
      <c r="AV446" s="3" t="str">
        <f>IFERROR(MID(VLOOKUP($B446,Seqs!$A:$B,2,0),AW446,1),"")</f>
        <v>N</v>
      </c>
      <c r="AW446" s="3">
        <v>404</v>
      </c>
      <c r="AX446" s="3" t="str">
        <f>IFERROR(MID(VLOOKUP($B446,Seqs!$A:$B,2,0),AY446,1),"")</f>
        <v>W</v>
      </c>
      <c r="AY446" s="3">
        <v>415</v>
      </c>
      <c r="AZ446" s="77" t="str">
        <f>VLOOKUP(B446,Classification!A:D,2,0)</f>
        <v>B1</v>
      </c>
      <c r="BA446" s="94" t="str">
        <f>VLOOKUP(B446,Classification!A:D,4,0)</f>
        <v>Glucagonreceptorfamily</v>
      </c>
      <c r="BB446" s="27" t="b">
        <f t="shared" ref="BB446:BB465" si="4221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:BC465" si="4222">_xlfn.AGGREGATE(9,6,CH446:CS446)-_xlfn.AGGREGATE(9,6,BV446:CG446)+12</f>
        <v>247</v>
      </c>
      <c r="BD446" s="4" t="s">
        <v>1372</v>
      </c>
      <c r="BE446" s="3" t="s">
        <v>1370</v>
      </c>
      <c r="BF446" s="118">
        <v>3</v>
      </c>
      <c r="BG446" s="49" t="s">
        <v>1277</v>
      </c>
      <c r="BH446" s="49" t="s">
        <v>1277</v>
      </c>
      <c r="BI446" s="1"/>
      <c r="BJ446" s="70" t="s">
        <v>1283</v>
      </c>
      <c r="BK446" s="57" t="s">
        <v>1283</v>
      </c>
      <c r="BL446" s="57" t="s">
        <v>1283</v>
      </c>
      <c r="BM446" s="57" t="s">
        <v>1283</v>
      </c>
      <c r="BN446" s="57" t="s">
        <v>1283</v>
      </c>
      <c r="BO446" s="57" t="s">
        <v>1283</v>
      </c>
      <c r="BP446" s="57" t="s">
        <v>1283</v>
      </c>
      <c r="BQ446" s="57" t="s">
        <v>1283</v>
      </c>
      <c r="BR446" s="57" t="s">
        <v>1283</v>
      </c>
      <c r="BS446" s="57" t="s">
        <v>1283</v>
      </c>
      <c r="BT446" s="57" t="s">
        <v>1283</v>
      </c>
      <c r="BU446" s="57" t="s">
        <v>1283</v>
      </c>
      <c r="BV446" s="70">
        <f t="shared" ref="BV446:BV465" si="4223">E446</f>
        <v>131</v>
      </c>
      <c r="BW446" s="71">
        <f t="shared" ref="BW446:BW465" si="4224">I446</f>
        <v>167</v>
      </c>
      <c r="BX446" s="72">
        <f t="shared" ref="BX446:BX465" si="4225">M446</f>
        <v>171</v>
      </c>
      <c r="BY446" s="71" t="str">
        <f t="shared" ref="BY446:BY465" si="4226">Q446</f>
        <v>-</v>
      </c>
      <c r="BZ446" s="72">
        <f t="shared" ref="BZ446:BZ465" si="4227">U446</f>
        <v>217</v>
      </c>
      <c r="CA446" s="71" t="str">
        <f t="shared" ref="CA446:CA465" si="4228">Y446</f>
        <v>-</v>
      </c>
      <c r="CB446" s="72">
        <f t="shared" ref="CB446:CB465" si="4229">AC446</f>
        <v>260</v>
      </c>
      <c r="CC446" s="71">
        <f t="shared" ref="CC446:CC465" si="4230">AG446</f>
        <v>294</v>
      </c>
      <c r="CD446" s="72">
        <f t="shared" ref="CD446:CD465" si="4231">AK446</f>
        <v>299</v>
      </c>
      <c r="CE446" s="71">
        <f t="shared" ref="CE446:CE465" si="4232">AO446</f>
        <v>342</v>
      </c>
      <c r="CF446" s="72">
        <f t="shared" ref="CF446:CF465" si="4233">AS446</f>
        <v>375</v>
      </c>
      <c r="CG446" s="71">
        <f t="shared" ref="CG446:CG465" si="4234">AW446</f>
        <v>404</v>
      </c>
      <c r="CH446" s="70">
        <f t="shared" ref="CH446:CH465" si="4235">G446</f>
        <v>164</v>
      </c>
      <c r="CI446" s="71">
        <f t="shared" ref="CI446:CI465" si="4236">K446</f>
        <v>170</v>
      </c>
      <c r="CJ446" s="72">
        <f t="shared" ref="CJ446:CJ465" si="4237">O446</f>
        <v>201</v>
      </c>
      <c r="CK446" s="72" t="str">
        <f t="shared" ref="CK446:CK465" si="4238">S446</f>
        <v>-</v>
      </c>
      <c r="CL446" s="72">
        <f t="shared" ref="CL446:CL465" si="4239">W446</f>
        <v>255</v>
      </c>
      <c r="CM446" s="72" t="str">
        <f t="shared" ref="CM446:CM465" si="4240">AA446</f>
        <v>-</v>
      </c>
      <c r="CN446" s="72">
        <f t="shared" ref="CN446:CN465" si="4241">AE446</f>
        <v>290</v>
      </c>
      <c r="CO446" s="72">
        <f t="shared" ref="CO446:CO465" si="4242">AI446</f>
        <v>296</v>
      </c>
      <c r="CP446" s="72">
        <f t="shared" ref="CP446:CP465" si="4243">AM446</f>
        <v>334</v>
      </c>
      <c r="CQ446" s="72">
        <f t="shared" ref="CQ446:CQ465" si="4244">AQ446</f>
        <v>367</v>
      </c>
      <c r="CR446" s="72">
        <f t="shared" ref="CR446:CR465" si="4245">AU446</f>
        <v>403</v>
      </c>
      <c r="CS446" s="72">
        <f t="shared" ref="CS446:CS465" si="4246">AY446</f>
        <v>415</v>
      </c>
      <c r="CT446" s="23">
        <f t="shared" ref="CT446:CT465" si="4247">M446-K446</f>
        <v>1</v>
      </c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</row>
    <row r="447" spans="1:1029" x14ac:dyDescent="0.2">
      <c r="A447" s="3" t="str">
        <f t="shared" si="4220"/>
        <v>glr_human_5XF1</v>
      </c>
      <c r="B447" s="3" t="s">
        <v>32</v>
      </c>
      <c r="C447" s="3" t="s">
        <v>1406</v>
      </c>
      <c r="D447" s="3" t="str">
        <f>IFERROR(MID(VLOOKUP($B447,Seqs!$A:$B,2,0),E447,1),"")</f>
        <v>Q</v>
      </c>
      <c r="E447" s="3">
        <v>131</v>
      </c>
      <c r="F447" s="3" t="str">
        <f>IFERROR(MID(VLOOKUP($B447,Seqs!$A:$B,2,0),G447,1),"")</f>
        <v>L</v>
      </c>
      <c r="G447" s="3">
        <v>166</v>
      </c>
      <c r="H447" s="3" t="str">
        <f>IFERROR(MID(VLOOKUP($B447,Seqs!$A:$B,2,0),I447,1),"")</f>
        <v>S</v>
      </c>
      <c r="I447" s="23">
        <v>167</v>
      </c>
      <c r="J447" s="3" t="str">
        <f>IFERROR(MID(VLOOKUP($B447,Seqs!$A:$B,2,0),K447,1),"")</f>
        <v>H</v>
      </c>
      <c r="K447" s="23">
        <v>170</v>
      </c>
      <c r="L447" s="3" t="str">
        <f>IFERROR(MID(VLOOKUP($B447,Seqs!$A:$B,2,0),M447,1),"")</f>
        <v>N</v>
      </c>
      <c r="M447" s="23">
        <v>174</v>
      </c>
      <c r="N447" s="3" t="str">
        <f>IFERROR(MID(VLOOKUP($B447,Seqs!$A:$B,2,0),O447,1),"")</f>
        <v>R</v>
      </c>
      <c r="O447" s="3">
        <v>201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S</v>
      </c>
      <c r="U447" s="3">
        <v>217</v>
      </c>
      <c r="V447" s="3" t="str">
        <f>IFERROR(MID(VLOOKUP($B447,Seqs!$A:$B,2,0),W447,1),"")</f>
        <v>L</v>
      </c>
      <c r="W447" s="3">
        <v>255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R</v>
      </c>
      <c r="AC447" s="3">
        <v>261</v>
      </c>
      <c r="AD447" s="3" t="str">
        <f>IFERROR(MID(VLOOKUP($B447,Seqs!$A:$B,2,0),AE447,1),"")</f>
        <v>F</v>
      </c>
      <c r="AE447" s="3">
        <v>289</v>
      </c>
      <c r="AF447" s="3" t="str">
        <f>IFERROR(MID(VLOOKUP($B447,Seqs!$A:$B,2,0),AG447,1),"")</f>
        <v>C</v>
      </c>
      <c r="AG447" s="3">
        <v>294</v>
      </c>
      <c r="AH447" s="3" t="str">
        <f>IFERROR(MID(VLOOKUP($B447,Seqs!$A:$B,2,0),AI447,1),"")</f>
        <v>T</v>
      </c>
      <c r="AI447" s="3">
        <v>296</v>
      </c>
      <c r="AJ447" s="3" t="str">
        <f>IFERROR(MID(VLOOKUP($B447,Seqs!$A:$B,2,0),AK447,1),"")</f>
        <v>D</v>
      </c>
      <c r="AK447" s="3">
        <v>299</v>
      </c>
      <c r="AL447" s="3" t="str">
        <f>IFERROR(MID(VLOOKUP($B447,Seqs!$A:$B,2,0),AM447,1),"")</f>
        <v>L</v>
      </c>
      <c r="AM447" s="3">
        <v>333</v>
      </c>
      <c r="AN447" s="3" t="str">
        <f>IFERROR(MID(VLOOKUP($B447,Seqs!$A:$B,2,0),AO447,1),"")</f>
        <v>D</v>
      </c>
      <c r="AO447" s="3">
        <v>342</v>
      </c>
      <c r="AP447" s="3" t="str">
        <f>IFERROR(MID(VLOOKUP($B447,Seqs!$A:$B,2,0),AQ447,1),"")</f>
        <v>V</v>
      </c>
      <c r="AQ447" s="3">
        <v>368</v>
      </c>
      <c r="AR447" s="3" t="str">
        <f>IFERROR(MID(VLOOKUP($B447,Seqs!$A:$B,2,0),AS447,1),"")</f>
        <v>L</v>
      </c>
      <c r="AS447" s="3">
        <v>377</v>
      </c>
      <c r="AT447" s="3" t="str">
        <f>IFERROR(MID(VLOOKUP($B447,Seqs!$A:$B,2,0),AU447,1),"")</f>
        <v>L</v>
      </c>
      <c r="AU447" s="3">
        <v>403</v>
      </c>
      <c r="AV447" s="3" t="str">
        <f>IFERROR(MID(VLOOKUP($B447,Seqs!$A:$B,2,0),AW447,1),"")</f>
        <v>N</v>
      </c>
      <c r="AW447" s="3">
        <v>404</v>
      </c>
      <c r="AX447" s="3" t="str">
        <f>IFERROR(MID(VLOOKUP($B447,Seqs!$A:$B,2,0),AY447,1),"")</f>
        <v>W</v>
      </c>
      <c r="AY447" s="3">
        <v>415</v>
      </c>
      <c r="AZ447" s="77" t="str">
        <f>VLOOKUP(B447,Classification!A:D,2,0)</f>
        <v>B1</v>
      </c>
      <c r="BA447" s="94" t="str">
        <f>VLOOKUP(B447,Classification!A:D,4,0)</f>
        <v>Glucagonreceptorfamily</v>
      </c>
      <c r="BB447" s="27" t="b">
        <f t="shared" si="4221"/>
        <v>1</v>
      </c>
      <c r="BC447" s="23">
        <f t="shared" si="4222"/>
        <v>242</v>
      </c>
      <c r="BD447" s="4" t="s">
        <v>23</v>
      </c>
      <c r="BE447" s="3" t="s">
        <v>1370</v>
      </c>
      <c r="BF447" s="118">
        <v>3.19</v>
      </c>
      <c r="BG447" s="49" t="s">
        <v>1277</v>
      </c>
      <c r="BH447" s="49" t="s">
        <v>1277</v>
      </c>
      <c r="BI447" s="1"/>
      <c r="BJ447" s="70" t="s">
        <v>1283</v>
      </c>
      <c r="BK447" s="57" t="s">
        <v>1283</v>
      </c>
      <c r="BL447" s="57" t="s">
        <v>1283</v>
      </c>
      <c r="BM447" s="57" t="s">
        <v>1283</v>
      </c>
      <c r="BN447" s="57" t="s">
        <v>1283</v>
      </c>
      <c r="BO447" s="57" t="s">
        <v>1283</v>
      </c>
      <c r="BP447" s="57" t="s">
        <v>1283</v>
      </c>
      <c r="BQ447" s="57" t="s">
        <v>1283</v>
      </c>
      <c r="BR447" s="57" t="s">
        <v>1283</v>
      </c>
      <c r="BS447" s="57" t="s">
        <v>1283</v>
      </c>
      <c r="BT447" s="57" t="s">
        <v>1283</v>
      </c>
      <c r="BU447" s="57" t="s">
        <v>1283</v>
      </c>
      <c r="BV447" s="70">
        <f t="shared" si="4223"/>
        <v>131</v>
      </c>
      <c r="BW447" s="71">
        <f t="shared" si="4224"/>
        <v>167</v>
      </c>
      <c r="BX447" s="72">
        <f t="shared" si="4225"/>
        <v>174</v>
      </c>
      <c r="BY447" s="71" t="str">
        <f t="shared" si="4226"/>
        <v>-</v>
      </c>
      <c r="BZ447" s="72">
        <f t="shared" si="4227"/>
        <v>217</v>
      </c>
      <c r="CA447" s="71" t="str">
        <f t="shared" si="4228"/>
        <v>-</v>
      </c>
      <c r="CB447" s="72">
        <f t="shared" si="4229"/>
        <v>261</v>
      </c>
      <c r="CC447" s="71">
        <f t="shared" si="4230"/>
        <v>294</v>
      </c>
      <c r="CD447" s="72">
        <f t="shared" si="4231"/>
        <v>299</v>
      </c>
      <c r="CE447" s="71">
        <f t="shared" si="4232"/>
        <v>342</v>
      </c>
      <c r="CF447" s="72">
        <f t="shared" si="4233"/>
        <v>377</v>
      </c>
      <c r="CG447" s="71">
        <f t="shared" si="4234"/>
        <v>404</v>
      </c>
      <c r="CH447" s="70">
        <f t="shared" si="4235"/>
        <v>166</v>
      </c>
      <c r="CI447" s="71">
        <f t="shared" si="4236"/>
        <v>170</v>
      </c>
      <c r="CJ447" s="72">
        <f t="shared" si="4237"/>
        <v>201</v>
      </c>
      <c r="CK447" s="72" t="str">
        <f t="shared" si="4238"/>
        <v>-</v>
      </c>
      <c r="CL447" s="72">
        <f t="shared" si="4239"/>
        <v>255</v>
      </c>
      <c r="CM447" s="72" t="str">
        <f t="shared" si="4240"/>
        <v>-</v>
      </c>
      <c r="CN447" s="72">
        <f t="shared" si="4241"/>
        <v>289</v>
      </c>
      <c r="CO447" s="72">
        <f t="shared" si="4242"/>
        <v>296</v>
      </c>
      <c r="CP447" s="72">
        <f t="shared" si="4243"/>
        <v>333</v>
      </c>
      <c r="CQ447" s="72">
        <f t="shared" si="4244"/>
        <v>368</v>
      </c>
      <c r="CR447" s="72">
        <f t="shared" si="4245"/>
        <v>403</v>
      </c>
      <c r="CS447" s="72">
        <f t="shared" si="4246"/>
        <v>415</v>
      </c>
      <c r="CT447" s="23">
        <f t="shared" si="4247"/>
        <v>4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</row>
    <row r="448" spans="1:1029" x14ac:dyDescent="0.2">
      <c r="A448" s="3" t="str">
        <f t="shared" si="4220"/>
        <v>glr_human_5YQZ</v>
      </c>
      <c r="B448" s="3" t="s">
        <v>32</v>
      </c>
      <c r="C448" s="3" t="s">
        <v>1458</v>
      </c>
      <c r="D448" s="3" t="str">
        <f>IFERROR(MID(VLOOKUP($B448,Seqs!$A:$B,2,0),E448,1),"")</f>
        <v>D</v>
      </c>
      <c r="E448" s="3">
        <v>124</v>
      </c>
      <c r="F448" s="3" t="str">
        <f>IFERROR(MID(VLOOKUP($B448,Seqs!$A:$B,2,0),G448,1),"")</f>
        <v>L</v>
      </c>
      <c r="G448" s="3">
        <v>166</v>
      </c>
      <c r="H448" s="3" t="str">
        <f>IFERROR(MID(VLOOKUP($B448,Seqs!$A:$B,2,0),I448,1),"")</f>
        <v>S</v>
      </c>
      <c r="I448" s="23">
        <v>167</v>
      </c>
      <c r="J448" s="3" t="str">
        <f>IFERROR(MID(VLOOKUP($B448,Seqs!$A:$B,2,0),K448,1),"")</f>
        <v>H</v>
      </c>
      <c r="K448" s="23">
        <v>170</v>
      </c>
      <c r="L448" s="3" t="str">
        <f>IFERROR(MID(VLOOKUP($B448,Seqs!$A:$B,2,0),M448,1),"")</f>
        <v>C</v>
      </c>
      <c r="M448" s="23">
        <v>171</v>
      </c>
      <c r="N448" s="3" t="str">
        <f>IFERROR(MID(VLOOKUP($B448,Seqs!$A:$B,2,0),O448,1),"")</f>
        <v>S</v>
      </c>
      <c r="O448" s="3">
        <v>203</v>
      </c>
      <c r="P448" s="3" t="str">
        <f>IFERROR(MID(VLOOKUP($B448,Seqs!$A:$B,2,0),Q448,1),"")</f>
        <v/>
      </c>
      <c r="Q448" s="3" t="s">
        <v>23</v>
      </c>
      <c r="R448" s="3" t="str">
        <f>IFERROR(MID(VLOOKUP($B448,Seqs!$A:$B,2,0),S448,1),"")</f>
        <v/>
      </c>
      <c r="S448" s="3" t="s">
        <v>23</v>
      </c>
      <c r="T448" s="3" t="str">
        <f>IFERROR(MID(VLOOKUP($B448,Seqs!$A:$B,2,0),U448,1),"")</f>
        <v>A</v>
      </c>
      <c r="U448" s="3">
        <v>220</v>
      </c>
      <c r="V448" s="3" t="str">
        <f>IFERROR(MID(VLOOKUP($B448,Seqs!$A:$B,2,0),W448,1),"")</f>
        <v>L</v>
      </c>
      <c r="W448" s="3">
        <v>255</v>
      </c>
      <c r="X448" s="3" t="str">
        <f>IFERROR(MID(VLOOKUP($B448,Seqs!$A:$B,2,0),Y448,1),"")</f>
        <v/>
      </c>
      <c r="Y448" s="3" t="s">
        <v>23</v>
      </c>
      <c r="Z448" s="3" t="str">
        <f>IFERROR(MID(VLOOKUP($B448,Seqs!$A:$B,2,0),AA448,1),"")</f>
        <v/>
      </c>
      <c r="AA448" s="3" t="s">
        <v>23</v>
      </c>
      <c r="AB448" s="3" t="str">
        <f>IFERROR(MID(VLOOKUP($B448,Seqs!$A:$B,2,0),AC448,1),"")</f>
        <v>F</v>
      </c>
      <c r="AC448" s="3">
        <v>263</v>
      </c>
      <c r="AD448" s="3" t="str">
        <f>IFERROR(MID(VLOOKUP($B448,Seqs!$A:$B,2,0),AE448,1),"")</f>
        <v>E</v>
      </c>
      <c r="AE448" s="3">
        <v>290</v>
      </c>
      <c r="AF448" s="3" t="str">
        <f>IFERROR(MID(VLOOKUP($B448,Seqs!$A:$B,2,0),AG448,1),"")</f>
        <v>C</v>
      </c>
      <c r="AG448" s="3">
        <v>294</v>
      </c>
      <c r="AH448" s="3" t="str">
        <f>IFERROR(MID(VLOOKUP($B448,Seqs!$A:$B,2,0),AI448,1),"")</f>
        <v>T</v>
      </c>
      <c r="AI448" s="3">
        <v>296</v>
      </c>
      <c r="AJ448" s="3" t="str">
        <f>IFERROR(MID(VLOOKUP($B448,Seqs!$A:$B,2,0),AK448,1),"")</f>
        <v>F</v>
      </c>
      <c r="AK448" s="3">
        <v>303</v>
      </c>
      <c r="AL448" s="3" t="str">
        <f>IFERROR(MID(VLOOKUP($B448,Seqs!$A:$B,2,0),AM448,1),"")</f>
        <v>A</v>
      </c>
      <c r="AM448" s="3">
        <v>335</v>
      </c>
      <c r="AN448" s="3" t="str">
        <f>IFERROR(MID(VLOOKUP($B448,Seqs!$A:$B,2,0),AO448,1),"")</f>
        <v>D</v>
      </c>
      <c r="AO448" s="3">
        <v>342</v>
      </c>
      <c r="AP448" s="3" t="str">
        <f>IFERROR(MID(VLOOKUP($B448,Seqs!$A:$B,2,0),AQ448,1),"")</f>
        <v>T</v>
      </c>
      <c r="AQ448" s="3">
        <v>369</v>
      </c>
      <c r="AR448" s="3" t="str">
        <f>IFERROR(MID(VLOOKUP($B448,Seqs!$A:$B,2,0),AS448,1),"")</f>
        <v>G</v>
      </c>
      <c r="AS448" s="3">
        <v>375</v>
      </c>
      <c r="AT448" s="3" t="str">
        <f>IFERROR(MID(VLOOKUP($B448,Seqs!$A:$B,2,0),AU448,1),"")</f>
        <v>L</v>
      </c>
      <c r="AU448" s="3">
        <v>403</v>
      </c>
      <c r="AV448" s="3" t="str">
        <f>IFERROR(MID(VLOOKUP($B448,Seqs!$A:$B,2,0),AW448,1),"")</f>
        <v>N</v>
      </c>
      <c r="AW448" s="3">
        <v>404</v>
      </c>
      <c r="AX448" s="3" t="str">
        <f>IFERROR(MID(VLOOKUP($B448,Seqs!$A:$B,2,0),AY448,1),"")</f>
        <v>E</v>
      </c>
      <c r="AY448" s="3">
        <v>426</v>
      </c>
      <c r="AZ448" s="77" t="str">
        <f>VLOOKUP(B448,Classification!A:D,2,0)</f>
        <v>B1</v>
      </c>
      <c r="BA448" s="94" t="str">
        <f>VLOOKUP(B448,Classification!A:D,4,0)</f>
        <v>Glucagonreceptorfamily</v>
      </c>
      <c r="BB448" s="27" t="b">
        <f t="shared" si="4221"/>
        <v>1</v>
      </c>
      <c r="BC448" s="23">
        <f t="shared" si="4222"/>
        <v>262</v>
      </c>
      <c r="BD448" s="4" t="s">
        <v>23</v>
      </c>
      <c r="BE448" s="3" t="s">
        <v>1370</v>
      </c>
      <c r="BF448" s="118">
        <v>3</v>
      </c>
      <c r="BG448" s="49" t="s">
        <v>1418</v>
      </c>
      <c r="BH448" s="49" t="s">
        <v>1418</v>
      </c>
      <c r="BI448" s="1"/>
      <c r="BJ448" s="70" t="s">
        <v>1283</v>
      </c>
      <c r="BK448" s="57" t="s">
        <v>1283</v>
      </c>
      <c r="BL448" s="57" t="s">
        <v>1283</v>
      </c>
      <c r="BM448" s="57" t="s">
        <v>1283</v>
      </c>
      <c r="BN448" s="57" t="s">
        <v>1283</v>
      </c>
      <c r="BO448" s="57" t="s">
        <v>1283</v>
      </c>
      <c r="BP448" s="57" t="s">
        <v>1283</v>
      </c>
      <c r="BQ448" s="57" t="s">
        <v>1283</v>
      </c>
      <c r="BR448" s="57" t="s">
        <v>1283</v>
      </c>
      <c r="BS448" s="57" t="s">
        <v>1283</v>
      </c>
      <c r="BT448" s="57" t="s">
        <v>1283</v>
      </c>
      <c r="BU448" s="57" t="s">
        <v>1283</v>
      </c>
      <c r="BV448" s="70">
        <f t="shared" si="4223"/>
        <v>124</v>
      </c>
      <c r="BW448" s="71">
        <f t="shared" si="4224"/>
        <v>167</v>
      </c>
      <c r="BX448" s="72">
        <f t="shared" si="4225"/>
        <v>171</v>
      </c>
      <c r="BY448" s="71" t="str">
        <f t="shared" si="4226"/>
        <v>-</v>
      </c>
      <c r="BZ448" s="72">
        <f t="shared" si="4227"/>
        <v>220</v>
      </c>
      <c r="CA448" s="71" t="str">
        <f t="shared" si="4228"/>
        <v>-</v>
      </c>
      <c r="CB448" s="72">
        <f t="shared" si="4229"/>
        <v>263</v>
      </c>
      <c r="CC448" s="71">
        <f t="shared" si="4230"/>
        <v>294</v>
      </c>
      <c r="CD448" s="72">
        <f t="shared" si="4231"/>
        <v>303</v>
      </c>
      <c r="CE448" s="71">
        <f t="shared" si="4232"/>
        <v>342</v>
      </c>
      <c r="CF448" s="72">
        <f t="shared" si="4233"/>
        <v>375</v>
      </c>
      <c r="CG448" s="71">
        <f t="shared" si="4234"/>
        <v>404</v>
      </c>
      <c r="CH448" s="70">
        <f t="shared" si="4235"/>
        <v>166</v>
      </c>
      <c r="CI448" s="71">
        <f t="shared" si="4236"/>
        <v>170</v>
      </c>
      <c r="CJ448" s="72">
        <f t="shared" si="4237"/>
        <v>203</v>
      </c>
      <c r="CK448" s="72" t="str">
        <f t="shared" si="4238"/>
        <v>-</v>
      </c>
      <c r="CL448" s="72">
        <f t="shared" si="4239"/>
        <v>255</v>
      </c>
      <c r="CM448" s="72" t="str">
        <f t="shared" si="4240"/>
        <v>-</v>
      </c>
      <c r="CN448" s="72">
        <f t="shared" si="4241"/>
        <v>290</v>
      </c>
      <c r="CO448" s="72">
        <f t="shared" si="4242"/>
        <v>296</v>
      </c>
      <c r="CP448" s="72">
        <f t="shared" si="4243"/>
        <v>335</v>
      </c>
      <c r="CQ448" s="72">
        <f t="shared" si="4244"/>
        <v>369</v>
      </c>
      <c r="CR448" s="72">
        <f t="shared" si="4245"/>
        <v>403</v>
      </c>
      <c r="CS448" s="72">
        <f t="shared" si="4246"/>
        <v>426</v>
      </c>
      <c r="CT448" s="23">
        <f t="shared" si="4247"/>
        <v>1</v>
      </c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</row>
    <row r="449" spans="1:1029" x14ac:dyDescent="0.2">
      <c r="A449" s="3" t="str">
        <f t="shared" ref="A449" si="4248">CONCATENATE(B449,"_",C449)</f>
        <v>glr_human_6LMK</v>
      </c>
      <c r="B449" s="3" t="s">
        <v>32</v>
      </c>
      <c r="C449" s="3" t="s">
        <v>1671</v>
      </c>
      <c r="D449" s="3" t="str">
        <f>IFERROR(MID(VLOOKUP($B449,Seqs!$A:$B,2,0),E449,1),"")</f>
        <v>D</v>
      </c>
      <c r="E449" s="3">
        <v>124</v>
      </c>
      <c r="F449" s="3" t="str">
        <f>IFERROR(MID(VLOOKUP($B449,Seqs!$A:$B,2,0),G449,1),"")</f>
        <v>G</v>
      </c>
      <c r="G449" s="3">
        <v>165</v>
      </c>
      <c r="H449" s="3" t="str">
        <f>IFERROR(MID(VLOOKUP($B449,Seqs!$A:$B,2,0),I449,1),"")</f>
        <v/>
      </c>
      <c r="I449" s="23" t="s">
        <v>23</v>
      </c>
      <c r="J449" s="3" t="str">
        <f>IFERROR(MID(VLOOKUP($B449,Seqs!$A:$B,2,0),K449,1),"")</f>
        <v/>
      </c>
      <c r="K449" s="23" t="s">
        <v>23</v>
      </c>
      <c r="L449" s="3" t="str">
        <f>IFERROR(MID(VLOOKUP($B449,Seqs!$A:$B,2,0),M449,1),"")</f>
        <v>C</v>
      </c>
      <c r="M449" s="23">
        <v>171</v>
      </c>
      <c r="N449" s="3" t="str">
        <f>IFERROR(MID(VLOOKUP($B449,Seqs!$A:$B,2,0),O449,1),"")</f>
        <v>S</v>
      </c>
      <c r="O449" s="3">
        <v>203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A</v>
      </c>
      <c r="U449" s="3">
        <v>220</v>
      </c>
      <c r="V449" s="3" t="str">
        <f>IFERROR(MID(VLOOKUP($B449,Seqs!$A:$B,2,0),W449,1),"")</f>
        <v>L</v>
      </c>
      <c r="W449" s="3">
        <v>253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F</v>
      </c>
      <c r="AC449" s="3">
        <v>263</v>
      </c>
      <c r="AD449" s="3" t="str">
        <f>IFERROR(MID(VLOOKUP($B449,Seqs!$A:$B,2,0),AE449,1),"")</f>
        <v>E</v>
      </c>
      <c r="AE449" s="3">
        <v>290</v>
      </c>
      <c r="AF449" s="3" t="str">
        <f>IFERROR(MID(VLOOKUP($B449,Seqs!$A:$B,2,0),AG449,1),"")</f>
        <v>C</v>
      </c>
      <c r="AG449" s="3">
        <v>294</v>
      </c>
      <c r="AH449" s="3" t="str">
        <f>IFERROR(MID(VLOOKUP($B449,Seqs!$A:$B,2,0),AI449,1),"")</f>
        <v>T</v>
      </c>
      <c r="AI449" s="3">
        <v>296</v>
      </c>
      <c r="AJ449" s="3" t="str">
        <f>IFERROR(MID(VLOOKUP($B449,Seqs!$A:$B,2,0),AK449,1),"")</f>
        <v>W</v>
      </c>
      <c r="AK449" s="3">
        <v>304</v>
      </c>
      <c r="AL449" s="3" t="str">
        <f>IFERROR(MID(VLOOKUP($B449,Seqs!$A:$B,2,0),AM449,1),"")</f>
        <v>R</v>
      </c>
      <c r="AM449" s="3">
        <v>334</v>
      </c>
      <c r="AN449" s="3" t="str">
        <f>IFERROR(MID(VLOOKUP($B449,Seqs!$A:$B,2,0),AO449,1),"")</f>
        <v>D</v>
      </c>
      <c r="AO449" s="3">
        <v>342</v>
      </c>
      <c r="AP449" s="3" t="str">
        <f>IFERROR(MID(VLOOKUP($B449,Seqs!$A:$B,2,0),AQ449,1),"")</f>
        <v>A</v>
      </c>
      <c r="AQ449" s="3">
        <v>366</v>
      </c>
      <c r="AR449" s="3" t="str">
        <f>IFERROR(MID(VLOOKUP($B449,Seqs!$A:$B,2,0),AS449,1),"")</f>
        <v>Q</v>
      </c>
      <c r="AS449" s="3">
        <v>374</v>
      </c>
      <c r="AT449" s="3" t="str">
        <f>IFERROR(MID(VLOOKUP($B449,Seqs!$A:$B,2,0),AU449,1),"")</f>
        <v>L</v>
      </c>
      <c r="AU449" s="3">
        <v>403</v>
      </c>
      <c r="AV449" s="3" t="str">
        <f>IFERROR(MID(VLOOKUP($B449,Seqs!$A:$B,2,0),AW449,1),"")</f>
        <v>N</v>
      </c>
      <c r="AW449" s="3">
        <v>404</v>
      </c>
      <c r="AX449" s="3" t="str">
        <f>IFERROR(MID(VLOOKUP($B449,Seqs!$A:$B,2,0),AY449,1),"")</f>
        <v>R</v>
      </c>
      <c r="AY449" s="3">
        <v>419</v>
      </c>
      <c r="AZ449" s="77" t="str">
        <f>VLOOKUP(B449,Classification!A:D,2,0)</f>
        <v>B1</v>
      </c>
      <c r="BA449" s="94" t="str">
        <f>VLOOKUP(B449,Classification!A:D,4,0)</f>
        <v>Glucagonreceptorfamily</v>
      </c>
      <c r="BB449" s="27" t="b">
        <f t="shared" ref="BB449" si="4249">AND(E449&lt;G449,OR(G449&lt;I449,I449="-"),OR(I449&lt;K449,I449="-"),OR(K449&lt;M449,K449="-"),M449&lt;O449,OR(O449&lt;Q449,Q449="-"),OR(Q449&lt;S449,Q449="-"),OR(S449&lt;U449,S449="-"),U449&lt;W449,OR(W449&lt;Y449,Y449="-"),OR(Y449&lt;AA449,Y449="-"),OR(AA449&lt;AC449,AA449="-"),AC449&lt;AE449,OR(AE449&lt;AG449,AG449="-"),OR(AG449&lt;AI449,AG449="-"),OR(AI449&lt;AK449,AI449="-"),AK449&lt;AM449,AM449&lt;AO449,AO449&lt;AQ449,AQ449&lt;AS449,AS449&lt;AU449,OR(AU449&lt;AW449,AW449="-"),OR(AW449&lt;AY449,AW449="-"))</f>
        <v>1</v>
      </c>
      <c r="BC449" s="23">
        <f t="shared" ref="BC449" si="4250">_xlfn.AGGREGATE(9,6,CH449:CS449)-_xlfn.AGGREGATE(9,6,BV449:CG449)+12</f>
        <v>245</v>
      </c>
      <c r="BD449" s="4" t="s">
        <v>23</v>
      </c>
      <c r="BE449" s="3" t="s">
        <v>1287</v>
      </c>
      <c r="BF449" s="118">
        <v>3.7</v>
      </c>
      <c r="BG449" s="49" t="s">
        <v>1418</v>
      </c>
      <c r="BH449" s="49" t="s">
        <v>1418</v>
      </c>
      <c r="BI449" s="1"/>
      <c r="BJ449" s="70" t="s">
        <v>1283</v>
      </c>
      <c r="BK449" s="57" t="s">
        <v>1283</v>
      </c>
      <c r="BL449" s="57" t="s">
        <v>1283</v>
      </c>
      <c r="BM449" s="57" t="s">
        <v>1283</v>
      </c>
      <c r="BN449" s="57" t="s">
        <v>1283</v>
      </c>
      <c r="BO449" s="57" t="s">
        <v>1283</v>
      </c>
      <c r="BP449" s="57" t="s">
        <v>1283</v>
      </c>
      <c r="BQ449" s="57" t="s">
        <v>1283</v>
      </c>
      <c r="BR449" s="57" t="s">
        <v>1283</v>
      </c>
      <c r="BS449" s="57" t="s">
        <v>1283</v>
      </c>
      <c r="BT449" s="57" t="s">
        <v>1283</v>
      </c>
      <c r="BU449" s="57" t="s">
        <v>1283</v>
      </c>
      <c r="BV449" s="70">
        <f t="shared" ref="BV449" si="4251">E449</f>
        <v>124</v>
      </c>
      <c r="BW449" s="71" t="str">
        <f t="shared" ref="BW449" si="4252">I449</f>
        <v>-</v>
      </c>
      <c r="BX449" s="72">
        <f t="shared" ref="BX449" si="4253">M449</f>
        <v>171</v>
      </c>
      <c r="BY449" s="71" t="str">
        <f t="shared" ref="BY449" si="4254">Q449</f>
        <v>-</v>
      </c>
      <c r="BZ449" s="72">
        <f t="shared" ref="BZ449" si="4255">U449</f>
        <v>220</v>
      </c>
      <c r="CA449" s="71" t="str">
        <f t="shared" ref="CA449" si="4256">Y449</f>
        <v>-</v>
      </c>
      <c r="CB449" s="72">
        <f t="shared" ref="CB449" si="4257">AC449</f>
        <v>263</v>
      </c>
      <c r="CC449" s="71">
        <f t="shared" ref="CC449" si="4258">AG449</f>
        <v>294</v>
      </c>
      <c r="CD449" s="72">
        <f t="shared" ref="CD449" si="4259">AK449</f>
        <v>304</v>
      </c>
      <c r="CE449" s="71">
        <f t="shared" ref="CE449" si="4260">AO449</f>
        <v>342</v>
      </c>
      <c r="CF449" s="72">
        <f t="shared" ref="CF449" si="4261">AS449</f>
        <v>374</v>
      </c>
      <c r="CG449" s="71">
        <f t="shared" ref="CG449" si="4262">AW449</f>
        <v>404</v>
      </c>
      <c r="CH449" s="70">
        <f t="shared" ref="CH449" si="4263">G449</f>
        <v>165</v>
      </c>
      <c r="CI449" s="71" t="str">
        <f t="shared" ref="CI449" si="4264">K449</f>
        <v>-</v>
      </c>
      <c r="CJ449" s="72">
        <f t="shared" ref="CJ449" si="4265">O449</f>
        <v>203</v>
      </c>
      <c r="CK449" s="72" t="str">
        <f t="shared" ref="CK449" si="4266">S449</f>
        <v>-</v>
      </c>
      <c r="CL449" s="72">
        <f t="shared" ref="CL449" si="4267">W449</f>
        <v>253</v>
      </c>
      <c r="CM449" s="72" t="str">
        <f t="shared" ref="CM449" si="4268">AA449</f>
        <v>-</v>
      </c>
      <c r="CN449" s="72">
        <f t="shared" ref="CN449" si="4269">AE449</f>
        <v>290</v>
      </c>
      <c r="CO449" s="72">
        <f t="shared" ref="CO449" si="4270">AI449</f>
        <v>296</v>
      </c>
      <c r="CP449" s="72">
        <f t="shared" ref="CP449" si="4271">AM449</f>
        <v>334</v>
      </c>
      <c r="CQ449" s="72">
        <f t="shared" ref="CQ449" si="4272">AQ449</f>
        <v>366</v>
      </c>
      <c r="CR449" s="72">
        <f t="shared" ref="CR449" si="4273">AU449</f>
        <v>403</v>
      </c>
      <c r="CS449" s="72">
        <f t="shared" ref="CS449" si="4274">AY449</f>
        <v>419</v>
      </c>
      <c r="CT449" s="23" t="e">
        <f t="shared" ref="CT449" si="4275">M449-K449</f>
        <v>#VALUE!</v>
      </c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</row>
    <row r="450" spans="1:1029" x14ac:dyDescent="0.2">
      <c r="A450" s="3" t="str">
        <f t="shared" ref="A450" si="4276">CONCATENATE(B450,"_",C450)</f>
        <v>glr_human_6LML</v>
      </c>
      <c r="B450" s="3" t="s">
        <v>32</v>
      </c>
      <c r="C450" s="3" t="s">
        <v>1672</v>
      </c>
      <c r="D450" s="3" t="str">
        <f>IFERROR(MID(VLOOKUP($B450,Seqs!$A:$B,2,0),E450,1),"")</f>
        <v>D</v>
      </c>
      <c r="E450" s="3">
        <v>124</v>
      </c>
      <c r="F450" s="3" t="str">
        <f>IFERROR(MID(VLOOKUP($B450,Seqs!$A:$B,2,0),G450,1),"")</f>
        <v>G</v>
      </c>
      <c r="G450" s="3">
        <v>165</v>
      </c>
      <c r="H450" s="3" t="str">
        <f>IFERROR(MID(VLOOKUP($B450,Seqs!$A:$B,2,0),I450,1),"")</f>
        <v/>
      </c>
      <c r="I450" s="23" t="s">
        <v>23</v>
      </c>
      <c r="J450" s="3" t="str">
        <f>IFERROR(MID(VLOOKUP($B450,Seqs!$A:$B,2,0),K450,1),"")</f>
        <v/>
      </c>
      <c r="K450" s="23" t="s">
        <v>23</v>
      </c>
      <c r="L450" s="3" t="str">
        <f>IFERROR(MID(VLOOKUP($B450,Seqs!$A:$B,2,0),M450,1),"")</f>
        <v>C</v>
      </c>
      <c r="M450" s="23">
        <v>171</v>
      </c>
      <c r="N450" s="3" t="str">
        <f>IFERROR(MID(VLOOKUP($B450,Seqs!$A:$B,2,0),O450,1),"")</f>
        <v>S</v>
      </c>
      <c r="O450" s="3">
        <v>203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V</v>
      </c>
      <c r="U450" s="3">
        <v>221</v>
      </c>
      <c r="V450" s="3" t="str">
        <f>IFERROR(MID(VLOOKUP($B450,Seqs!$A:$B,2,0),W450,1),"")</f>
        <v>G</v>
      </c>
      <c r="W450" s="3">
        <v>254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F</v>
      </c>
      <c r="AC450" s="3">
        <v>263</v>
      </c>
      <c r="AD450" s="3" t="str">
        <f>IFERROR(MID(VLOOKUP($B450,Seqs!$A:$B,2,0),AE450,1),"")</f>
        <v>E</v>
      </c>
      <c r="AE450" s="3">
        <v>290</v>
      </c>
      <c r="AF450" s="3" t="str">
        <f>IFERROR(MID(VLOOKUP($B450,Seqs!$A:$B,2,0),AG450,1),"")</f>
        <v>C</v>
      </c>
      <c r="AG450" s="3">
        <v>294</v>
      </c>
      <c r="AH450" s="3" t="str">
        <f>IFERROR(MID(VLOOKUP($B450,Seqs!$A:$B,2,0),AI450,1),"")</f>
        <v>T</v>
      </c>
      <c r="AI450" s="3">
        <v>296</v>
      </c>
      <c r="AJ450" s="3" t="str">
        <f>IFERROR(MID(VLOOKUP($B450,Seqs!$A:$B,2,0),AK450,1),"")</f>
        <v>N</v>
      </c>
      <c r="AK450" s="3">
        <v>300</v>
      </c>
      <c r="AL450" s="3" t="str">
        <f>IFERROR(MID(VLOOKUP($B450,Seqs!$A:$B,2,0),AM450,1),"")</f>
        <v>L</v>
      </c>
      <c r="AM450" s="3">
        <v>333</v>
      </c>
      <c r="AN450" s="3" t="str">
        <f>IFERROR(MID(VLOOKUP($B450,Seqs!$A:$B,2,0),AO450,1),"")</f>
        <v>Y</v>
      </c>
      <c r="AO450" s="3">
        <v>343</v>
      </c>
      <c r="AP450" s="3" t="str">
        <f>IFERROR(MID(VLOOKUP($B450,Seqs!$A:$B,2,0),AQ450,1),"")</f>
        <v>H</v>
      </c>
      <c r="AQ450" s="3">
        <v>361</v>
      </c>
      <c r="AR450" s="3" t="str">
        <f>IFERROR(MID(VLOOKUP($B450,Seqs!$A:$B,2,0),AS450,1),"")</f>
        <v>L</v>
      </c>
      <c r="AS450" s="3">
        <v>377</v>
      </c>
      <c r="AT450" s="3" t="str">
        <f>IFERROR(MID(VLOOKUP($B450,Seqs!$A:$B,2,0),AU450,1),"")</f>
        <v>L</v>
      </c>
      <c r="AU450" s="3">
        <v>403</v>
      </c>
      <c r="AV450" s="3" t="str">
        <f>IFERROR(MID(VLOOKUP($B450,Seqs!$A:$B,2,0),AW450,1),"")</f>
        <v>N</v>
      </c>
      <c r="AW450" s="3">
        <v>404</v>
      </c>
      <c r="AX450" s="3" t="str">
        <f>IFERROR(MID(VLOOKUP($B450,Seqs!$A:$B,2,0),AY450,1),"")</f>
        <v>R</v>
      </c>
      <c r="AY450" s="3">
        <v>419</v>
      </c>
      <c r="AZ450" s="77" t="str">
        <f>VLOOKUP(B450,Classification!A:D,2,0)</f>
        <v>B1</v>
      </c>
      <c r="BA450" s="94" t="str">
        <f>VLOOKUP(B450,Classification!A:D,4,0)</f>
        <v>Glucagonreceptorfamily</v>
      </c>
      <c r="BB450" s="27" t="b">
        <f t="shared" ref="BB450" si="4277">AND(E450&lt;G450,OR(G450&lt;I450,I450="-"),OR(I450&lt;K450,I450="-"),OR(K450&lt;M450,K450="-"),M450&lt;O450,OR(O450&lt;Q450,Q450="-"),OR(Q450&lt;S450,Q450="-"),OR(S450&lt;U450,S450="-"),U450&lt;W450,OR(W450&lt;Y450,Y450="-"),OR(Y450&lt;AA450,Y450="-"),OR(AA450&lt;AC450,AA450="-"),AC450&lt;AE450,OR(AE450&lt;AG450,AG450="-"),OR(AG450&lt;AI450,AG450="-"),OR(AI450&lt;AK450,AI450="-"),AK450&lt;AM450,AM450&lt;AO450,AO450&lt;AQ450,AQ450&lt;AS450,AS450&lt;AU450,OR(AU450&lt;AW450,AW450="-"),OR(AW450&lt;AY450,AW450="-"))</f>
        <v>1</v>
      </c>
      <c r="BC450" s="23">
        <f t="shared" ref="BC450" si="4278">_xlfn.AGGREGATE(9,6,CH450:CS450)-_xlfn.AGGREGATE(9,6,BV450:CG450)+12</f>
        <v>239</v>
      </c>
      <c r="BD450" s="4" t="s">
        <v>23</v>
      </c>
      <c r="BE450" s="3" t="s">
        <v>1287</v>
      </c>
      <c r="BF450" s="118">
        <v>3.9</v>
      </c>
      <c r="BG450" s="49" t="s">
        <v>1418</v>
      </c>
      <c r="BH450" s="49" t="s">
        <v>1418</v>
      </c>
      <c r="BI450" s="1"/>
      <c r="BJ450" s="70" t="s">
        <v>1283</v>
      </c>
      <c r="BK450" s="57" t="s">
        <v>1283</v>
      </c>
      <c r="BL450" s="57" t="s">
        <v>1283</v>
      </c>
      <c r="BM450" s="57" t="s">
        <v>1283</v>
      </c>
      <c r="BN450" s="57" t="s">
        <v>1283</v>
      </c>
      <c r="BO450" s="57" t="s">
        <v>1283</v>
      </c>
      <c r="BP450" s="57" t="s">
        <v>1283</v>
      </c>
      <c r="BQ450" s="57" t="s">
        <v>1283</v>
      </c>
      <c r="BR450" s="57" t="s">
        <v>1283</v>
      </c>
      <c r="BS450" s="57" t="s">
        <v>1283</v>
      </c>
      <c r="BT450" s="57" t="s">
        <v>1283</v>
      </c>
      <c r="BU450" s="57" t="s">
        <v>1283</v>
      </c>
      <c r="BV450" s="70">
        <f t="shared" ref="BV450" si="4279">E450</f>
        <v>124</v>
      </c>
      <c r="BW450" s="71" t="str">
        <f t="shared" ref="BW450" si="4280">I450</f>
        <v>-</v>
      </c>
      <c r="BX450" s="72">
        <f t="shared" ref="BX450" si="4281">M450</f>
        <v>171</v>
      </c>
      <c r="BY450" s="71" t="str">
        <f t="shared" ref="BY450" si="4282">Q450</f>
        <v>-</v>
      </c>
      <c r="BZ450" s="72">
        <f t="shared" ref="BZ450" si="4283">U450</f>
        <v>221</v>
      </c>
      <c r="CA450" s="71" t="str">
        <f t="shared" ref="CA450" si="4284">Y450</f>
        <v>-</v>
      </c>
      <c r="CB450" s="72">
        <f t="shared" ref="CB450" si="4285">AC450</f>
        <v>263</v>
      </c>
      <c r="CC450" s="71">
        <f t="shared" ref="CC450" si="4286">AG450</f>
        <v>294</v>
      </c>
      <c r="CD450" s="72">
        <f t="shared" ref="CD450" si="4287">AK450</f>
        <v>300</v>
      </c>
      <c r="CE450" s="71">
        <f t="shared" ref="CE450" si="4288">AO450</f>
        <v>343</v>
      </c>
      <c r="CF450" s="72">
        <f t="shared" ref="CF450" si="4289">AS450</f>
        <v>377</v>
      </c>
      <c r="CG450" s="71">
        <f t="shared" ref="CG450" si="4290">AW450</f>
        <v>404</v>
      </c>
      <c r="CH450" s="70">
        <f t="shared" ref="CH450" si="4291">G450</f>
        <v>165</v>
      </c>
      <c r="CI450" s="71" t="str">
        <f t="shared" ref="CI450" si="4292">K450</f>
        <v>-</v>
      </c>
      <c r="CJ450" s="72">
        <f t="shared" ref="CJ450" si="4293">O450</f>
        <v>203</v>
      </c>
      <c r="CK450" s="72" t="str">
        <f t="shared" ref="CK450" si="4294">S450</f>
        <v>-</v>
      </c>
      <c r="CL450" s="72">
        <f t="shared" ref="CL450" si="4295">W450</f>
        <v>254</v>
      </c>
      <c r="CM450" s="72" t="str">
        <f t="shared" ref="CM450" si="4296">AA450</f>
        <v>-</v>
      </c>
      <c r="CN450" s="72">
        <f t="shared" ref="CN450" si="4297">AE450</f>
        <v>290</v>
      </c>
      <c r="CO450" s="72">
        <f t="shared" ref="CO450" si="4298">AI450</f>
        <v>296</v>
      </c>
      <c r="CP450" s="72">
        <f t="shared" ref="CP450" si="4299">AM450</f>
        <v>333</v>
      </c>
      <c r="CQ450" s="72">
        <f t="shared" ref="CQ450" si="4300">AQ450</f>
        <v>361</v>
      </c>
      <c r="CR450" s="72">
        <f t="shared" ref="CR450" si="4301">AU450</f>
        <v>403</v>
      </c>
      <c r="CS450" s="72">
        <f t="shared" ref="CS450" si="4302">AY450</f>
        <v>419</v>
      </c>
      <c r="CT450" s="23" t="e">
        <f t="shared" ref="CT450" si="4303">M450-K450</f>
        <v>#VALUE!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29" s="12" customFormat="1" x14ac:dyDescent="0.2">
      <c r="A451" s="9" t="str">
        <f t="shared" ref="A451" si="4304">CONCATENATE(B451,"_",C451)</f>
        <v>glr_human_6WHC</v>
      </c>
      <c r="B451" s="9" t="s">
        <v>32</v>
      </c>
      <c r="C451" s="9" t="s">
        <v>1701</v>
      </c>
      <c r="D451" s="9" t="str">
        <f>IFERROR(MID(VLOOKUP($B451,Seqs!$A:$B,2,0),E451,1),"")</f>
        <v>V</v>
      </c>
      <c r="E451" s="9">
        <v>134</v>
      </c>
      <c r="F451" s="9" t="str">
        <f>IFERROR(MID(VLOOKUP($B451,Seqs!$A:$B,2,0),G451,1),"")</f>
        <v>G</v>
      </c>
      <c r="G451" s="9">
        <v>165</v>
      </c>
      <c r="H451" s="9" t="str">
        <f>IFERROR(MID(VLOOKUP($B451,Seqs!$A:$B,2,0),I451,1),"")</f>
        <v/>
      </c>
      <c r="I451" s="109" t="s">
        <v>23</v>
      </c>
      <c r="J451" s="9" t="str">
        <f>IFERROR(MID(VLOOKUP($B451,Seqs!$A:$B,2,0),K451,1),"")</f>
        <v/>
      </c>
      <c r="K451" s="109" t="s">
        <v>23</v>
      </c>
      <c r="L451" s="9" t="str">
        <f>IFERROR(MID(VLOOKUP($B451,Seqs!$A:$B,2,0),M451,1),"")</f>
        <v>C</v>
      </c>
      <c r="M451" s="109">
        <v>171</v>
      </c>
      <c r="N451" s="9" t="str">
        <f>IFERROR(MID(VLOOKUP($B451,Seqs!$A:$B,2,0),O451,1),"")</f>
        <v>Y</v>
      </c>
      <c r="O451" s="9">
        <v>202</v>
      </c>
      <c r="P451" s="9" t="str">
        <f>IFERROR(MID(VLOOKUP($B451,Seqs!$A:$B,2,0),Q451,1),"")</f>
        <v/>
      </c>
      <c r="Q451" s="9" t="s">
        <v>23</v>
      </c>
      <c r="R451" s="9" t="str">
        <f>IFERROR(MID(VLOOKUP($B451,Seqs!$A:$B,2,0),S451,1),"")</f>
        <v/>
      </c>
      <c r="S451" s="9" t="s">
        <v>23</v>
      </c>
      <c r="T451" s="9" t="str">
        <f>IFERROR(MID(VLOOKUP($B451,Seqs!$A:$B,2,0),U451,1),"")</f>
        <v>S</v>
      </c>
      <c r="U451" s="9">
        <v>217</v>
      </c>
      <c r="V451" s="9" t="str">
        <f>IFERROR(MID(VLOOKUP($B451,Seqs!$A:$B,2,0),W451,1),"")</f>
        <v>L</v>
      </c>
      <c r="W451" s="9">
        <v>255</v>
      </c>
      <c r="X451" s="9" t="str">
        <f>IFERROR(MID(VLOOKUP($B451,Seqs!$A:$B,2,0),Y451,1),"")</f>
        <v/>
      </c>
      <c r="Y451" s="9" t="s">
        <v>23</v>
      </c>
      <c r="Z451" s="9" t="str">
        <f>IFERROR(MID(VLOOKUP($B451,Seqs!$A:$B,2,0),AA451,1),"")</f>
        <v/>
      </c>
      <c r="AA451" s="9" t="s">
        <v>23</v>
      </c>
      <c r="AB451" s="9" t="str">
        <f>IFERROR(MID(VLOOKUP($B451,Seqs!$A:$B,2,0),AC451,1),"")</f>
        <v>F</v>
      </c>
      <c r="AC451" s="9">
        <v>263</v>
      </c>
      <c r="AD451" s="9" t="str">
        <f>IFERROR(MID(VLOOKUP($B451,Seqs!$A:$B,2,0),AE451,1),"")</f>
        <v>F</v>
      </c>
      <c r="AE451" s="9">
        <v>289</v>
      </c>
      <c r="AF451" s="9" t="str">
        <f>IFERROR(MID(VLOOKUP($B451,Seqs!$A:$B,2,0),AG451,1),"")</f>
        <v>C</v>
      </c>
      <c r="AG451" s="9">
        <v>294</v>
      </c>
      <c r="AH451" s="9" t="str">
        <f>IFERROR(MID(VLOOKUP($B451,Seqs!$A:$B,2,0),AI451,1),"")</f>
        <v>T</v>
      </c>
      <c r="AI451" s="9">
        <v>296</v>
      </c>
      <c r="AJ451" s="9" t="str">
        <f>IFERROR(MID(VLOOKUP($B451,Seqs!$A:$B,2,0),AK451,1),"")</f>
        <v>W</v>
      </c>
      <c r="AK451" s="9">
        <v>304</v>
      </c>
      <c r="AL451" s="9" t="str">
        <f>IFERROR(MID(VLOOKUP($B451,Seqs!$A:$B,2,0),AM451,1),"")</f>
        <v>R</v>
      </c>
      <c r="AM451" s="9">
        <v>334</v>
      </c>
      <c r="AN451" s="9" t="str">
        <f>IFERROR(MID(VLOOKUP($B451,Seqs!$A:$B,2,0),AO451,1),"")</f>
        <v>Y</v>
      </c>
      <c r="AO451" s="9">
        <v>343</v>
      </c>
      <c r="AP451" s="9" t="str">
        <f>IFERROR(MID(VLOOKUP($B451,Seqs!$A:$B,2,0),AQ451,1),"")</f>
        <v>F</v>
      </c>
      <c r="AQ451" s="9">
        <v>365</v>
      </c>
      <c r="AR451" s="9" t="str">
        <f>IFERROR(MID(VLOOKUP($B451,Seqs!$A:$B,2,0),AS451,1),"")</f>
        <v>R</v>
      </c>
      <c r="AS451" s="9">
        <v>378</v>
      </c>
      <c r="AT451" s="9" t="str">
        <f>IFERROR(MID(VLOOKUP($B451,Seqs!$A:$B,2,0),AU451,1),"")</f>
        <v>L</v>
      </c>
      <c r="AU451" s="9">
        <v>403</v>
      </c>
      <c r="AV451" s="9" t="str">
        <f>IFERROR(MID(VLOOKUP($B451,Seqs!$A:$B,2,0),AW451,1),"")</f>
        <v>N</v>
      </c>
      <c r="AW451" s="9">
        <v>404</v>
      </c>
      <c r="AX451" s="9" t="str">
        <f>IFERROR(MID(VLOOKUP($B451,Seqs!$A:$B,2,0),AY451,1),"")</f>
        <v>W</v>
      </c>
      <c r="AY451" s="9">
        <v>418</v>
      </c>
      <c r="AZ451" s="110" t="str">
        <f>VLOOKUP(B451,Classification!A:D,2,0)</f>
        <v>B1</v>
      </c>
      <c r="BA451" s="98" t="str">
        <f>VLOOKUP(B451,Classification!A:D,4,0)</f>
        <v>Glucagonreceptorfamily</v>
      </c>
      <c r="BB451" s="36" t="b">
        <f t="shared" ref="BB451" si="4305">AND(E451&lt;G451,OR(G451&lt;I451,I451="-"),OR(I451&lt;K451,I451="-"),OR(K451&lt;M451,K451="-"),M451&lt;O451,OR(O451&lt;Q451,Q451="-"),OR(Q451&lt;S451,Q451="-"),OR(S451&lt;U451,S451="-"),U451&lt;W451,OR(W451&lt;Y451,Y451="-"),OR(Y451&lt;AA451,Y451="-"),OR(AA451&lt;AC451,AA451="-"),AC451&lt;AE451,OR(AE451&lt;AG451,AG451="-"),OR(AG451&lt;AI451,AG451="-"),OR(AI451&lt;AK451,AI451="-"),AK451&lt;AM451,AM451&lt;AO451,AO451&lt;AQ451,AQ451&lt;AS451,AS451&lt;AU451,OR(AU451&lt;AW451,AW451="-"),OR(AW451&lt;AY451,AW451="-"))</f>
        <v>1</v>
      </c>
      <c r="BC451" s="109">
        <f t="shared" ref="BC451" si="4306">_xlfn.AGGREGATE(9,6,CH451:CS451)-_xlfn.AGGREGATE(9,6,BV451:CG451)+12</f>
        <v>231</v>
      </c>
      <c r="BD451" s="11" t="s">
        <v>23</v>
      </c>
      <c r="BE451" s="9" t="s">
        <v>1287</v>
      </c>
      <c r="BF451" s="119">
        <v>3.4</v>
      </c>
      <c r="BG451" s="51" t="s">
        <v>1418</v>
      </c>
      <c r="BH451" s="51" t="s">
        <v>1418</v>
      </c>
      <c r="BJ451" s="111" t="s">
        <v>1283</v>
      </c>
      <c r="BK451" s="112" t="s">
        <v>1283</v>
      </c>
      <c r="BL451" s="112" t="s">
        <v>1283</v>
      </c>
      <c r="BM451" s="112" t="s">
        <v>1283</v>
      </c>
      <c r="BN451" s="112" t="s">
        <v>1283</v>
      </c>
      <c r="BO451" s="112" t="s">
        <v>1283</v>
      </c>
      <c r="BP451" s="112" t="s">
        <v>1283</v>
      </c>
      <c r="BQ451" s="112" t="s">
        <v>1283</v>
      </c>
      <c r="BR451" s="112" t="s">
        <v>1283</v>
      </c>
      <c r="BS451" s="112" t="s">
        <v>1283</v>
      </c>
      <c r="BT451" s="112" t="s">
        <v>1283</v>
      </c>
      <c r="BU451" s="112" t="s">
        <v>1283</v>
      </c>
      <c r="BV451" s="111">
        <f t="shared" ref="BV451" si="4307">E451</f>
        <v>134</v>
      </c>
      <c r="BW451" s="113" t="str">
        <f t="shared" ref="BW451" si="4308">I451</f>
        <v>-</v>
      </c>
      <c r="BX451" s="114">
        <f t="shared" ref="BX451" si="4309">M451</f>
        <v>171</v>
      </c>
      <c r="BY451" s="113" t="str">
        <f t="shared" ref="BY451" si="4310">Q451</f>
        <v>-</v>
      </c>
      <c r="BZ451" s="114">
        <f t="shared" ref="BZ451" si="4311">U451</f>
        <v>217</v>
      </c>
      <c r="CA451" s="113" t="str">
        <f t="shared" ref="CA451" si="4312">Y451</f>
        <v>-</v>
      </c>
      <c r="CB451" s="114">
        <f t="shared" ref="CB451" si="4313">AC451</f>
        <v>263</v>
      </c>
      <c r="CC451" s="113">
        <f t="shared" ref="CC451" si="4314">AG451</f>
        <v>294</v>
      </c>
      <c r="CD451" s="114">
        <f t="shared" ref="CD451" si="4315">AK451</f>
        <v>304</v>
      </c>
      <c r="CE451" s="113">
        <f t="shared" ref="CE451" si="4316">AO451</f>
        <v>343</v>
      </c>
      <c r="CF451" s="114">
        <f t="shared" ref="CF451" si="4317">AS451</f>
        <v>378</v>
      </c>
      <c r="CG451" s="113">
        <f t="shared" ref="CG451" si="4318">AW451</f>
        <v>404</v>
      </c>
      <c r="CH451" s="111">
        <f t="shared" ref="CH451" si="4319">G451</f>
        <v>165</v>
      </c>
      <c r="CI451" s="113" t="str">
        <f t="shared" ref="CI451" si="4320">K451</f>
        <v>-</v>
      </c>
      <c r="CJ451" s="114">
        <f t="shared" ref="CJ451" si="4321">O451</f>
        <v>202</v>
      </c>
      <c r="CK451" s="114" t="str">
        <f t="shared" ref="CK451" si="4322">S451</f>
        <v>-</v>
      </c>
      <c r="CL451" s="114">
        <f t="shared" ref="CL451" si="4323">W451</f>
        <v>255</v>
      </c>
      <c r="CM451" s="114" t="str">
        <f t="shared" ref="CM451" si="4324">AA451</f>
        <v>-</v>
      </c>
      <c r="CN451" s="114">
        <f t="shared" ref="CN451" si="4325">AE451</f>
        <v>289</v>
      </c>
      <c r="CO451" s="114">
        <f t="shared" ref="CO451" si="4326">AI451</f>
        <v>296</v>
      </c>
      <c r="CP451" s="114">
        <f t="shared" ref="CP451" si="4327">AM451</f>
        <v>334</v>
      </c>
      <c r="CQ451" s="114">
        <f t="shared" ref="CQ451" si="4328">AQ451</f>
        <v>365</v>
      </c>
      <c r="CR451" s="114">
        <f t="shared" ref="CR451" si="4329">AU451</f>
        <v>403</v>
      </c>
      <c r="CS451" s="114">
        <f t="shared" ref="CS451" si="4330">AY451</f>
        <v>418</v>
      </c>
      <c r="CT451" s="109" t="e">
        <f t="shared" ref="CT451" si="4331">M451-K451</f>
        <v>#VALUE!</v>
      </c>
    </row>
    <row r="452" spans="1:1029" s="12" customFormat="1" x14ac:dyDescent="0.2">
      <c r="A452" s="9" t="str">
        <f t="shared" ref="A452" si="4332">CONCATENATE(B452,"_",C452)</f>
        <v>glr_human_6WPW</v>
      </c>
      <c r="B452" s="9" t="s">
        <v>32</v>
      </c>
      <c r="C452" s="9" t="s">
        <v>1702</v>
      </c>
      <c r="D452" s="9" t="str">
        <f>IFERROR(MID(VLOOKUP($B452,Seqs!$A:$B,2,0),E452,1),"")</f>
        <v>D</v>
      </c>
      <c r="E452" s="9">
        <v>124</v>
      </c>
      <c r="F452" s="9" t="str">
        <f>IFERROR(MID(VLOOKUP($B452,Seqs!$A:$B,2,0),G452,1),"")</f>
        <v>L</v>
      </c>
      <c r="G452" s="9">
        <v>166</v>
      </c>
      <c r="H452" s="9" t="str">
        <f>IFERROR(MID(VLOOKUP($B452,Seqs!$A:$B,2,0),I452,1),"")</f>
        <v>S</v>
      </c>
      <c r="I452" s="109">
        <v>167</v>
      </c>
      <c r="J452" s="9" t="str">
        <f>IFERROR(MID(VLOOKUP($B452,Seqs!$A:$B,2,0),K452,1),"")</f>
        <v>H</v>
      </c>
      <c r="K452" s="109">
        <v>170</v>
      </c>
      <c r="L452" s="9" t="str">
        <f>IFERROR(MID(VLOOKUP($B452,Seqs!$A:$B,2,0),M452,1),"")</f>
        <v>T</v>
      </c>
      <c r="M452" s="109">
        <v>172</v>
      </c>
      <c r="N452" s="9" t="str">
        <f>IFERROR(MID(VLOOKUP($B452,Seqs!$A:$B,2,0),O452,1),"")</f>
        <v>S</v>
      </c>
      <c r="O452" s="9">
        <v>203</v>
      </c>
      <c r="P452" s="9" t="str">
        <f>IFERROR(MID(VLOOKUP($B452,Seqs!$A:$B,2,0),Q452,1),"")</f>
        <v/>
      </c>
      <c r="Q452" s="9" t="s">
        <v>23</v>
      </c>
      <c r="R452" s="9" t="str">
        <f>IFERROR(MID(VLOOKUP($B452,Seqs!$A:$B,2,0),S452,1),"")</f>
        <v/>
      </c>
      <c r="S452" s="9" t="s">
        <v>23</v>
      </c>
      <c r="T452" s="9" t="str">
        <f>IFERROR(MID(VLOOKUP($B452,Seqs!$A:$B,2,0),U452,1),"")</f>
        <v>V</v>
      </c>
      <c r="U452" s="9">
        <v>221</v>
      </c>
      <c r="V452" s="9" t="str">
        <f>IFERROR(MID(VLOOKUP($B452,Seqs!$A:$B,2,0),W452,1),"")</f>
        <v>L</v>
      </c>
      <c r="W452" s="9">
        <v>253</v>
      </c>
      <c r="X452" s="9" t="str">
        <f>IFERROR(MID(VLOOKUP($B452,Seqs!$A:$B,2,0),Y452,1),"")</f>
        <v/>
      </c>
      <c r="Y452" s="9" t="s">
        <v>23</v>
      </c>
      <c r="Z452" s="9" t="str">
        <f>IFERROR(MID(VLOOKUP($B452,Seqs!$A:$B,2,0),AA452,1),"")</f>
        <v/>
      </c>
      <c r="AA452" s="9" t="s">
        <v>23</v>
      </c>
      <c r="AB452" s="9" t="str">
        <f>IFERROR(MID(VLOOKUP($B452,Seqs!$A:$B,2,0),AC452,1),"")</f>
        <v>F</v>
      </c>
      <c r="AC452" s="9">
        <v>263</v>
      </c>
      <c r="AD452" s="9" t="str">
        <f>IFERROR(MID(VLOOKUP($B452,Seqs!$A:$B,2,0),AE452,1),"")</f>
        <v>E</v>
      </c>
      <c r="AE452" s="9">
        <v>290</v>
      </c>
      <c r="AF452" s="9" t="str">
        <f>IFERROR(MID(VLOOKUP($B452,Seqs!$A:$B,2,0),AG452,1),"")</f>
        <v>C</v>
      </c>
      <c r="AG452" s="9">
        <v>294</v>
      </c>
      <c r="AH452" s="9" t="str">
        <f>IFERROR(MID(VLOOKUP($B452,Seqs!$A:$B,2,0),AI452,1),"")</f>
        <v>T</v>
      </c>
      <c r="AI452" s="9">
        <v>296</v>
      </c>
      <c r="AJ452" s="9" t="str">
        <f>IFERROR(MID(VLOOKUP($B452,Seqs!$A:$B,2,0),AK452,1),"")</f>
        <v>N</v>
      </c>
      <c r="AK452" s="9">
        <v>300</v>
      </c>
      <c r="AL452" s="9" t="str">
        <f>IFERROR(MID(VLOOKUP($B452,Seqs!$A:$B,2,0),AM452,1),"")</f>
        <v>R</v>
      </c>
      <c r="AM452" s="9">
        <v>334</v>
      </c>
      <c r="AN452" s="9" t="str">
        <f>IFERROR(MID(VLOOKUP($B452,Seqs!$A:$B,2,0),AO452,1),"")</f>
        <v>K</v>
      </c>
      <c r="AO452" s="9">
        <v>344</v>
      </c>
      <c r="AP452" s="9" t="str">
        <f>IFERROR(MID(VLOOKUP($B452,Seqs!$A:$B,2,0),AQ452,1),"")</f>
        <v>A</v>
      </c>
      <c r="AQ452" s="9">
        <v>366</v>
      </c>
      <c r="AR452" s="9" t="str">
        <f>IFERROR(MID(VLOOKUP($B452,Seqs!$A:$B,2,0),AS452,1),"")</f>
        <v>G</v>
      </c>
      <c r="AS452" s="9">
        <v>375</v>
      </c>
      <c r="AT452" s="9" t="str">
        <f>IFERROR(MID(VLOOKUP($B452,Seqs!$A:$B,2,0),AU452,1),"")</f>
        <v>F</v>
      </c>
      <c r="AU452" s="9">
        <v>402</v>
      </c>
      <c r="AV452" s="9" t="str">
        <f>IFERROR(MID(VLOOKUP($B452,Seqs!$A:$B,2,0),AW452,1),"")</f>
        <v>N</v>
      </c>
      <c r="AW452" s="9">
        <v>404</v>
      </c>
      <c r="AX452" s="9" t="str">
        <f>IFERROR(MID(VLOOKUP($B452,Seqs!$A:$B,2,0),AY452,1),"")</f>
        <v>L</v>
      </c>
      <c r="AY452" s="9">
        <v>424</v>
      </c>
      <c r="AZ452" s="110" t="str">
        <f>VLOOKUP(B452,Classification!A:D,2,0)</f>
        <v>B1</v>
      </c>
      <c r="BA452" s="98" t="str">
        <f>VLOOKUP(B452,Classification!A:D,4,0)</f>
        <v>Glucagonreceptorfamily</v>
      </c>
      <c r="BB452" s="36" t="b">
        <f t="shared" ref="BB452" si="4333">AND(E452&lt;G452,OR(G452&lt;I452,I452="-"),OR(I452&lt;K452,I452="-"),OR(K452&lt;M452,K452="-"),M452&lt;O452,OR(O452&lt;Q452,Q452="-"),OR(Q452&lt;S452,Q452="-"),OR(S452&lt;U452,S452="-"),U452&lt;W452,OR(W452&lt;Y452,Y452="-"),OR(Y452&lt;AA452,Y452="-"),OR(AA452&lt;AC452,AA452="-"),AC452&lt;AE452,OR(AE452&lt;AG452,AG452="-"),OR(AG452&lt;AI452,AG452="-"),OR(AI452&lt;AK452,AI452="-"),AK452&lt;AM452,AM452&lt;AO452,AO452&lt;AQ452,AQ452&lt;AS452,AS452&lt;AU452,OR(AU452&lt;AW452,AW452="-"),OR(AW452&lt;AY452,AW452="-"))</f>
        <v>1</v>
      </c>
      <c r="BC452" s="109">
        <f t="shared" ref="BC452" si="4334">_xlfn.AGGREGATE(9,6,CH452:CS452)-_xlfn.AGGREGATE(9,6,BV452:CG452)+12</f>
        <v>252</v>
      </c>
      <c r="BD452" s="11" t="s">
        <v>1371</v>
      </c>
      <c r="BE452" s="9" t="s">
        <v>1287</v>
      </c>
      <c r="BF452" s="119">
        <v>3.1</v>
      </c>
      <c r="BG452" s="51" t="s">
        <v>1418</v>
      </c>
      <c r="BH452" s="51" t="s">
        <v>1418</v>
      </c>
      <c r="BJ452" s="111" t="s">
        <v>1283</v>
      </c>
      <c r="BK452" s="112" t="s">
        <v>1283</v>
      </c>
      <c r="BL452" s="112" t="s">
        <v>1283</v>
      </c>
      <c r="BM452" s="112" t="s">
        <v>1283</v>
      </c>
      <c r="BN452" s="112" t="s">
        <v>1283</v>
      </c>
      <c r="BO452" s="112" t="s">
        <v>1283</v>
      </c>
      <c r="BP452" s="112" t="s">
        <v>1283</v>
      </c>
      <c r="BQ452" s="112" t="s">
        <v>1283</v>
      </c>
      <c r="BR452" s="112" t="s">
        <v>1283</v>
      </c>
      <c r="BS452" s="112" t="s">
        <v>1283</v>
      </c>
      <c r="BT452" s="112" t="s">
        <v>1283</v>
      </c>
      <c r="BU452" s="112" t="s">
        <v>1283</v>
      </c>
      <c r="BV452" s="111">
        <f t="shared" ref="BV452" si="4335">E452</f>
        <v>124</v>
      </c>
      <c r="BW452" s="113">
        <f t="shared" ref="BW452" si="4336">I452</f>
        <v>167</v>
      </c>
      <c r="BX452" s="114">
        <f t="shared" ref="BX452" si="4337">M452</f>
        <v>172</v>
      </c>
      <c r="BY452" s="113" t="str">
        <f t="shared" ref="BY452" si="4338">Q452</f>
        <v>-</v>
      </c>
      <c r="BZ452" s="114">
        <f t="shared" ref="BZ452" si="4339">U452</f>
        <v>221</v>
      </c>
      <c r="CA452" s="113" t="str">
        <f t="shared" ref="CA452" si="4340">Y452</f>
        <v>-</v>
      </c>
      <c r="CB452" s="114">
        <f t="shared" ref="CB452" si="4341">AC452</f>
        <v>263</v>
      </c>
      <c r="CC452" s="113">
        <f t="shared" ref="CC452" si="4342">AG452</f>
        <v>294</v>
      </c>
      <c r="CD452" s="114">
        <f t="shared" ref="CD452" si="4343">AK452</f>
        <v>300</v>
      </c>
      <c r="CE452" s="113">
        <f t="shared" ref="CE452" si="4344">AO452</f>
        <v>344</v>
      </c>
      <c r="CF452" s="114">
        <f t="shared" ref="CF452" si="4345">AS452</f>
        <v>375</v>
      </c>
      <c r="CG452" s="113">
        <f t="shared" ref="CG452" si="4346">AW452</f>
        <v>404</v>
      </c>
      <c r="CH452" s="111">
        <f t="shared" ref="CH452" si="4347">G452</f>
        <v>166</v>
      </c>
      <c r="CI452" s="113">
        <f t="shared" ref="CI452" si="4348">K452</f>
        <v>170</v>
      </c>
      <c r="CJ452" s="114">
        <f t="shared" ref="CJ452" si="4349">O452</f>
        <v>203</v>
      </c>
      <c r="CK452" s="114" t="str">
        <f t="shared" ref="CK452" si="4350">S452</f>
        <v>-</v>
      </c>
      <c r="CL452" s="114">
        <f t="shared" ref="CL452" si="4351">W452</f>
        <v>253</v>
      </c>
      <c r="CM452" s="114" t="str">
        <f t="shared" ref="CM452" si="4352">AA452</f>
        <v>-</v>
      </c>
      <c r="CN452" s="114">
        <f t="shared" ref="CN452" si="4353">AE452</f>
        <v>290</v>
      </c>
      <c r="CO452" s="114">
        <f t="shared" ref="CO452" si="4354">AI452</f>
        <v>296</v>
      </c>
      <c r="CP452" s="114">
        <f t="shared" ref="CP452" si="4355">AM452</f>
        <v>334</v>
      </c>
      <c r="CQ452" s="114">
        <f t="shared" ref="CQ452" si="4356">AQ452</f>
        <v>366</v>
      </c>
      <c r="CR452" s="114">
        <f t="shared" ref="CR452" si="4357">AU452</f>
        <v>402</v>
      </c>
      <c r="CS452" s="114">
        <f t="shared" ref="CS452" si="4358">AY452</f>
        <v>424</v>
      </c>
      <c r="CT452" s="109">
        <f t="shared" ref="CT452" si="4359">M452-K452</f>
        <v>2</v>
      </c>
    </row>
    <row r="453" spans="1:1029" x14ac:dyDescent="0.2">
      <c r="A453" s="3" t="str">
        <f t="shared" si="4220"/>
        <v>glp1r_human__wt</v>
      </c>
      <c r="B453" s="3" t="s">
        <v>405</v>
      </c>
      <c r="C453" s="3" t="s">
        <v>100</v>
      </c>
      <c r="D453" s="3" t="str">
        <f>IFERROR(MID(VLOOKUP($B453,Seqs!$A:$B,2,0),E453,1),"")</f>
        <v>E</v>
      </c>
      <c r="E453" s="3">
        <v>138</v>
      </c>
      <c r="F453" s="3" t="str">
        <f>IFERROR(MID(VLOOKUP($B453,Seqs!$A:$B,2,0),G453,1),"")</f>
        <v>F</v>
      </c>
      <c r="G453" s="3">
        <v>169</v>
      </c>
      <c r="H453" s="3" t="str">
        <f>IFERROR(MID(VLOOKUP($B453,Seqs!$A:$B,2,0),I453,1),"")</f>
        <v>R</v>
      </c>
      <c r="I453" s="23">
        <v>170</v>
      </c>
      <c r="J453" s="3" t="str">
        <f>IFERROR(MID(VLOOKUP($B453,Seqs!$A:$B,2,0),K453,1),"")</f>
        <v>H</v>
      </c>
      <c r="K453" s="23">
        <v>173</v>
      </c>
      <c r="L453" s="3" t="str">
        <f>IFERROR(MID(VLOOKUP($B453,Seqs!$A:$B,2,0),M453,1),"")</f>
        <v>C</v>
      </c>
      <c r="M453" s="23">
        <v>174</v>
      </c>
      <c r="N453" s="3" t="str">
        <f>IFERROR(MID(VLOOKUP($B453,Seqs!$A:$B,2,0),O453,1),"")</f>
        <v>S</v>
      </c>
      <c r="O453" s="3">
        <v>206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L</v>
      </c>
      <c r="U453" s="3">
        <v>224</v>
      </c>
      <c r="V453" s="3" t="str">
        <f>IFERROR(MID(VLOOKUP($B453,Seqs!$A:$B,2,0),W453,1),"")</f>
        <v>F</v>
      </c>
      <c r="W453" s="3">
        <v>257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E</v>
      </c>
      <c r="AC453" s="3">
        <v>262</v>
      </c>
      <c r="AD453" s="3" t="str">
        <f>IFERROR(MID(VLOOKUP($B453,Seqs!$A:$B,2,0),AE453,1),"")</f>
        <v>E</v>
      </c>
      <c r="AE453" s="3">
        <v>292</v>
      </c>
      <c r="AF453" s="3" t="str">
        <f>IFERROR(MID(VLOOKUP($B453,Seqs!$A:$B,2,0),AG453,1),"")</f>
        <v>C</v>
      </c>
      <c r="AG453" s="3">
        <v>296</v>
      </c>
      <c r="AH453" s="3" t="str">
        <f>IFERROR(MID(VLOOKUP($B453,Seqs!$A:$B,2,0),AI453,1),"")</f>
        <v>T</v>
      </c>
      <c r="AI453" s="3">
        <v>298</v>
      </c>
      <c r="AJ453" s="3" t="str">
        <f>IFERROR(MID(VLOOKUP($B453,Seqs!$A:$B,2,0),AK453,1),"")</f>
        <v>N</v>
      </c>
      <c r="AK453" s="3">
        <v>302</v>
      </c>
      <c r="AL453" s="3" t="str">
        <f>IFERROR(MID(VLOOKUP($B453,Seqs!$A:$B,2,0),AM453,1),"")</f>
        <v>A</v>
      </c>
      <c r="AM453" s="3">
        <v>337</v>
      </c>
      <c r="AN453" s="3" t="str">
        <f>IFERROR(MID(VLOOKUP($B453,Seqs!$A:$B,2,0),AO453,1),"")</f>
        <v>D</v>
      </c>
      <c r="AO453" s="3">
        <v>344</v>
      </c>
      <c r="AP453" s="3" t="str">
        <f>IFERROR(MID(VLOOKUP($B453,Seqs!$A:$B,2,0),AQ453,1),"")</f>
        <v>F</v>
      </c>
      <c r="AQ453" s="3">
        <v>369</v>
      </c>
      <c r="AR453" s="3" t="str">
        <f>IFERROR(MID(VLOOKUP($B453,Seqs!$A:$B,2,0),AS453,1),"")</f>
        <v>G</v>
      </c>
      <c r="AS453" s="3">
        <v>377</v>
      </c>
      <c r="AT453" s="3" t="str">
        <f>IFERROR(MID(VLOOKUP($B453,Seqs!$A:$B,2,0),AU453,1),"")</f>
        <v>V</v>
      </c>
      <c r="AU453" s="3">
        <v>405</v>
      </c>
      <c r="AV453" s="3" t="str">
        <f>IFERROR(MID(VLOOKUP($B453,Seqs!$A:$B,2,0),AW453,1),"")</f>
        <v>N</v>
      </c>
      <c r="AW453" s="3">
        <v>406</v>
      </c>
      <c r="AX453" s="3" t="str">
        <f>IFERROR(MID(VLOOKUP($B453,Seqs!$A:$B,2,0),AY453,1),"")</f>
        <v>S</v>
      </c>
      <c r="AY453" s="3">
        <v>431</v>
      </c>
      <c r="AZ453" s="77" t="str">
        <f>VLOOKUP(B453,Classification!A:D,2,0)</f>
        <v>B1</v>
      </c>
      <c r="BA453" s="94" t="str">
        <f>VLOOKUP(B453,Classification!A:D,4,0)</f>
        <v>Glucagonreceptorfamily</v>
      </c>
      <c r="BB453" s="27" t="b">
        <f t="shared" si="4221"/>
        <v>1</v>
      </c>
      <c r="BC453" s="23">
        <f t="shared" si="4222"/>
        <v>256</v>
      </c>
      <c r="BD453" s="4" t="s">
        <v>23</v>
      </c>
      <c r="BE453" s="3" t="s">
        <v>23</v>
      </c>
      <c r="BF453" s="118" t="s">
        <v>23</v>
      </c>
      <c r="BG453" s="49" t="s">
        <v>1373</v>
      </c>
      <c r="BH453" s="49" t="s">
        <v>1373</v>
      </c>
      <c r="BI453" s="1"/>
      <c r="BJ453" s="70" t="s">
        <v>1283</v>
      </c>
      <c r="BK453" s="57" t="s">
        <v>1283</v>
      </c>
      <c r="BL453" s="57" t="s">
        <v>1283</v>
      </c>
      <c r="BM453" s="57" t="s">
        <v>1283</v>
      </c>
      <c r="BN453" s="57" t="s">
        <v>1283</v>
      </c>
      <c r="BO453" s="57" t="s">
        <v>1283</v>
      </c>
      <c r="BP453" s="57" t="s">
        <v>1283</v>
      </c>
      <c r="BQ453" s="57" t="s">
        <v>1283</v>
      </c>
      <c r="BR453" s="57" t="s">
        <v>1283</v>
      </c>
      <c r="BS453" s="57" t="s">
        <v>1283</v>
      </c>
      <c r="BT453" s="57" t="s">
        <v>1283</v>
      </c>
      <c r="BU453" s="57" t="s">
        <v>1283</v>
      </c>
      <c r="BV453" s="70">
        <f t="shared" si="4223"/>
        <v>138</v>
      </c>
      <c r="BW453" s="71">
        <f t="shared" si="4224"/>
        <v>170</v>
      </c>
      <c r="BX453" s="72">
        <f t="shared" si="4225"/>
        <v>174</v>
      </c>
      <c r="BY453" s="71" t="str">
        <f t="shared" si="4226"/>
        <v>-</v>
      </c>
      <c r="BZ453" s="72">
        <f t="shared" si="4227"/>
        <v>224</v>
      </c>
      <c r="CA453" s="71" t="str">
        <f t="shared" si="4228"/>
        <v>-</v>
      </c>
      <c r="CB453" s="72">
        <f t="shared" si="4229"/>
        <v>262</v>
      </c>
      <c r="CC453" s="71">
        <f t="shared" si="4230"/>
        <v>296</v>
      </c>
      <c r="CD453" s="72">
        <f t="shared" si="4231"/>
        <v>302</v>
      </c>
      <c r="CE453" s="71">
        <f t="shared" si="4232"/>
        <v>344</v>
      </c>
      <c r="CF453" s="72">
        <f t="shared" si="4233"/>
        <v>377</v>
      </c>
      <c r="CG453" s="71">
        <f t="shared" si="4234"/>
        <v>406</v>
      </c>
      <c r="CH453" s="70">
        <f t="shared" si="4235"/>
        <v>169</v>
      </c>
      <c r="CI453" s="71">
        <f t="shared" si="4236"/>
        <v>173</v>
      </c>
      <c r="CJ453" s="72">
        <f t="shared" si="4237"/>
        <v>206</v>
      </c>
      <c r="CK453" s="72" t="str">
        <f t="shared" si="4238"/>
        <v>-</v>
      </c>
      <c r="CL453" s="72">
        <f t="shared" si="4239"/>
        <v>257</v>
      </c>
      <c r="CM453" s="72" t="str">
        <f t="shared" si="4240"/>
        <v>-</v>
      </c>
      <c r="CN453" s="72">
        <f t="shared" si="4241"/>
        <v>292</v>
      </c>
      <c r="CO453" s="72">
        <f t="shared" si="4242"/>
        <v>298</v>
      </c>
      <c r="CP453" s="72">
        <f t="shared" si="4243"/>
        <v>337</v>
      </c>
      <c r="CQ453" s="72">
        <f t="shared" si="4244"/>
        <v>369</v>
      </c>
      <c r="CR453" s="72">
        <f t="shared" si="4245"/>
        <v>405</v>
      </c>
      <c r="CS453" s="72">
        <f t="shared" si="4246"/>
        <v>431</v>
      </c>
      <c r="CT453" s="23">
        <f t="shared" si="4247"/>
        <v>1</v>
      </c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</row>
    <row r="454" spans="1:1029" x14ac:dyDescent="0.2">
      <c r="A454" s="3" t="str">
        <f t="shared" si="4220"/>
        <v>glp1r_human_5VEW</v>
      </c>
      <c r="B454" s="3" t="s">
        <v>405</v>
      </c>
      <c r="C454" s="3" t="s">
        <v>1403</v>
      </c>
      <c r="D454" s="3" t="str">
        <f>IFERROR(MID(VLOOKUP($B454,Seqs!$A:$B,2,0),E454,1),"")</f>
        <v>S</v>
      </c>
      <c r="E454" s="3">
        <v>136</v>
      </c>
      <c r="F454" s="3" t="str">
        <f>IFERROR(MID(VLOOKUP($B454,Seqs!$A:$B,2,0),G454,1),"")</f>
        <v>F</v>
      </c>
      <c r="G454" s="3">
        <v>169</v>
      </c>
      <c r="H454" s="3" t="str">
        <f>IFERROR(MID(VLOOKUP($B454,Seqs!$A:$B,2,0),I454,1),"")</f>
        <v>R</v>
      </c>
      <c r="I454" s="23">
        <v>170</v>
      </c>
      <c r="J454" s="3" t="str">
        <f>IFERROR(MID(VLOOKUP($B454,Seqs!$A:$B,2,0),K454,1),"")</f>
        <v>H</v>
      </c>
      <c r="K454" s="23">
        <v>173</v>
      </c>
      <c r="L454" s="3" t="str">
        <f>IFERROR(MID(VLOOKUP($B454,Seqs!$A:$B,2,0),M454,1),"")</f>
        <v>C</v>
      </c>
      <c r="M454" s="23">
        <v>174</v>
      </c>
      <c r="N454" s="3" t="str">
        <f>IFERROR(MID(VLOOKUP($B454,Seqs!$A:$B,2,0),O454,1),"")</f>
        <v>K</v>
      </c>
      <c r="O454" s="3">
        <v>202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L</v>
      </c>
      <c r="U454" s="3">
        <v>224</v>
      </c>
      <c r="V454" s="3" t="str">
        <f>IFERROR(MID(VLOOKUP($B454,Seqs!$A:$B,2,0),W454,1),"")</f>
        <v>F</v>
      </c>
      <c r="W454" s="3">
        <v>257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E</v>
      </c>
      <c r="AC454" s="3">
        <v>262</v>
      </c>
      <c r="AD454" s="3" t="str">
        <f>IFERROR(MID(VLOOKUP($B454,Seqs!$A:$B,2,0),AE454,1),"")</f>
        <v>E</v>
      </c>
      <c r="AE454" s="3">
        <v>292</v>
      </c>
      <c r="AF454" s="3" t="str">
        <f>IFERROR(MID(VLOOKUP($B454,Seqs!$A:$B,2,0),AG454,1),"")</f>
        <v>C</v>
      </c>
      <c r="AG454" s="3">
        <v>296</v>
      </c>
      <c r="AH454" s="3" t="str">
        <f>IFERROR(MID(VLOOKUP($B454,Seqs!$A:$B,2,0),AI454,1),"")</f>
        <v>T</v>
      </c>
      <c r="AI454" s="3">
        <v>298</v>
      </c>
      <c r="AJ454" s="3" t="str">
        <f>IFERROR(MID(VLOOKUP($B454,Seqs!$A:$B,2,0),AK454,1),"")</f>
        <v>M</v>
      </c>
      <c r="AK454" s="3">
        <v>303</v>
      </c>
      <c r="AL454" s="3" t="str">
        <f>IFERROR(MID(VLOOKUP($B454,Seqs!$A:$B,2,0),AM454,1),"")</f>
        <v>A</v>
      </c>
      <c r="AM454" s="3">
        <v>337</v>
      </c>
      <c r="AN454" s="3" t="str">
        <f>IFERROR(MID(VLOOKUP($B454,Seqs!$A:$B,2,0),AO454,1),"")</f>
        <v>D</v>
      </c>
      <c r="AO454" s="3">
        <v>344</v>
      </c>
      <c r="AP454" s="3" t="str">
        <f>IFERROR(MID(VLOOKUP($B454,Seqs!$A:$B,2,0),AQ454,1),"")</f>
        <v>F</v>
      </c>
      <c r="AQ454" s="3">
        <v>367</v>
      </c>
      <c r="AR454" s="3" t="str">
        <f>IFERROR(MID(VLOOKUP($B454,Seqs!$A:$B,2,0),AS454,1),"")</f>
        <v>R</v>
      </c>
      <c r="AS454" s="3">
        <v>380</v>
      </c>
      <c r="AT454" s="3" t="str">
        <f>IFERROR(MID(VLOOKUP($B454,Seqs!$A:$B,2,0),AU454,1),"")</f>
        <v>V</v>
      </c>
      <c r="AU454" s="3">
        <v>405</v>
      </c>
      <c r="AV454" s="3" t="str">
        <f>IFERROR(MID(VLOOKUP($B454,Seqs!$A:$B,2,0),AW454,1),"")</f>
        <v>N</v>
      </c>
      <c r="AW454" s="3">
        <v>406</v>
      </c>
      <c r="AX454" s="3" t="str">
        <f>IFERROR(MID(VLOOKUP($B454,Seqs!$A:$B,2,0),AY454,1),"")</f>
        <v>L</v>
      </c>
      <c r="AY454" s="3">
        <v>422</v>
      </c>
      <c r="AZ454" s="77" t="str">
        <f>VLOOKUP(B454,Classification!A:D,2,0)</f>
        <v>B1</v>
      </c>
      <c r="BA454" s="94" t="str">
        <f>VLOOKUP(B454,Classification!A:D,4,0)</f>
        <v>Glucagonreceptorfamily</v>
      </c>
      <c r="BB454" s="27" t="b">
        <f t="shared" si="4221"/>
        <v>1</v>
      </c>
      <c r="BC454" s="23">
        <f t="shared" si="4222"/>
        <v>239</v>
      </c>
      <c r="BD454" s="4" t="s">
        <v>1372</v>
      </c>
      <c r="BE454" s="3" t="s">
        <v>1370</v>
      </c>
      <c r="BF454" s="118">
        <v>2.7</v>
      </c>
      <c r="BG454" s="49" t="s">
        <v>1277</v>
      </c>
      <c r="BH454" s="49" t="s">
        <v>1277</v>
      </c>
      <c r="BI454" s="1"/>
      <c r="BJ454" s="70" t="s">
        <v>1283</v>
      </c>
      <c r="BK454" s="57" t="s">
        <v>1283</v>
      </c>
      <c r="BL454" s="57" t="s">
        <v>1283</v>
      </c>
      <c r="BM454" s="57" t="s">
        <v>1283</v>
      </c>
      <c r="BN454" s="57" t="s">
        <v>1283</v>
      </c>
      <c r="BO454" s="57" t="s">
        <v>1283</v>
      </c>
      <c r="BP454" s="57" t="s">
        <v>1283</v>
      </c>
      <c r="BQ454" s="57" t="s">
        <v>1283</v>
      </c>
      <c r="BR454" s="57" t="s">
        <v>1283</v>
      </c>
      <c r="BS454" s="57" t="s">
        <v>1283</v>
      </c>
      <c r="BT454" s="57" t="s">
        <v>1283</v>
      </c>
      <c r="BU454" s="57" t="s">
        <v>1283</v>
      </c>
      <c r="BV454" s="70">
        <f t="shared" si="4223"/>
        <v>136</v>
      </c>
      <c r="BW454" s="71">
        <f t="shared" si="4224"/>
        <v>170</v>
      </c>
      <c r="BX454" s="72">
        <f t="shared" si="4225"/>
        <v>174</v>
      </c>
      <c r="BY454" s="71" t="str">
        <f t="shared" si="4226"/>
        <v>-</v>
      </c>
      <c r="BZ454" s="72">
        <f t="shared" si="4227"/>
        <v>224</v>
      </c>
      <c r="CA454" s="71" t="str">
        <f t="shared" si="4228"/>
        <v>-</v>
      </c>
      <c r="CB454" s="72">
        <f t="shared" si="4229"/>
        <v>262</v>
      </c>
      <c r="CC454" s="71">
        <f t="shared" si="4230"/>
        <v>296</v>
      </c>
      <c r="CD454" s="72">
        <f t="shared" si="4231"/>
        <v>303</v>
      </c>
      <c r="CE454" s="71">
        <f t="shared" si="4232"/>
        <v>344</v>
      </c>
      <c r="CF454" s="72">
        <f t="shared" si="4233"/>
        <v>380</v>
      </c>
      <c r="CG454" s="71">
        <f t="shared" si="4234"/>
        <v>406</v>
      </c>
      <c r="CH454" s="70">
        <f t="shared" si="4235"/>
        <v>169</v>
      </c>
      <c r="CI454" s="71">
        <f t="shared" si="4236"/>
        <v>173</v>
      </c>
      <c r="CJ454" s="72">
        <f t="shared" si="4237"/>
        <v>202</v>
      </c>
      <c r="CK454" s="72" t="str">
        <f t="shared" si="4238"/>
        <v>-</v>
      </c>
      <c r="CL454" s="72">
        <f t="shared" si="4239"/>
        <v>257</v>
      </c>
      <c r="CM454" s="72" t="str">
        <f t="shared" si="4240"/>
        <v>-</v>
      </c>
      <c r="CN454" s="72">
        <f t="shared" si="4241"/>
        <v>292</v>
      </c>
      <c r="CO454" s="72">
        <f t="shared" si="4242"/>
        <v>298</v>
      </c>
      <c r="CP454" s="72">
        <f t="shared" si="4243"/>
        <v>337</v>
      </c>
      <c r="CQ454" s="72">
        <f t="shared" si="4244"/>
        <v>367</v>
      </c>
      <c r="CR454" s="72">
        <f t="shared" si="4245"/>
        <v>405</v>
      </c>
      <c r="CS454" s="72">
        <f t="shared" si="4246"/>
        <v>422</v>
      </c>
      <c r="CT454" s="23">
        <f t="shared" si="4247"/>
        <v>1</v>
      </c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</row>
    <row r="455" spans="1:1029" x14ac:dyDescent="0.2">
      <c r="A455" s="3" t="str">
        <f t="shared" si="4220"/>
        <v>glp1r_human_5VEX</v>
      </c>
      <c r="B455" s="3" t="s">
        <v>405</v>
      </c>
      <c r="C455" s="3" t="s">
        <v>1402</v>
      </c>
      <c r="D455" s="3" t="str">
        <f>IFERROR(MID(VLOOKUP($B455,Seqs!$A:$B,2,0),E455,1),"")</f>
        <v>S</v>
      </c>
      <c r="E455" s="3">
        <v>136</v>
      </c>
      <c r="F455" s="3" t="str">
        <f>IFERROR(MID(VLOOKUP($B455,Seqs!$A:$B,2,0),G455,1),"")</f>
        <v>F</v>
      </c>
      <c r="G455" s="3">
        <v>169</v>
      </c>
      <c r="H455" s="3" t="str">
        <f>IFERROR(MID(VLOOKUP($B455,Seqs!$A:$B,2,0),I455,1),"")</f>
        <v>R</v>
      </c>
      <c r="I455" s="23">
        <v>170</v>
      </c>
      <c r="J455" s="3" t="str">
        <f>IFERROR(MID(VLOOKUP($B455,Seqs!$A:$B,2,0),K455,1),"")</f>
        <v>H</v>
      </c>
      <c r="K455" s="23">
        <v>173</v>
      </c>
      <c r="L455" s="3" t="str">
        <f>IFERROR(MID(VLOOKUP($B455,Seqs!$A:$B,2,0),M455,1),"")</f>
        <v>C</v>
      </c>
      <c r="M455" s="23">
        <v>174</v>
      </c>
      <c r="N455" s="3" t="str">
        <f>IFERROR(MID(VLOOKUP($B455,Seqs!$A:$B,2,0),O455,1),"")</f>
        <v>K</v>
      </c>
      <c r="O455" s="3">
        <v>202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L</v>
      </c>
      <c r="U455" s="3">
        <v>224</v>
      </c>
      <c r="V455" s="3" t="str">
        <f>IFERROR(MID(VLOOKUP($B455,Seqs!$A:$B,2,0),W455,1),"")</f>
        <v>F</v>
      </c>
      <c r="W455" s="3">
        <v>257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E</v>
      </c>
      <c r="AC455" s="3">
        <v>262</v>
      </c>
      <c r="AD455" s="3" t="str">
        <f>IFERROR(MID(VLOOKUP($B455,Seqs!$A:$B,2,0),AE455,1),"")</f>
        <v>E</v>
      </c>
      <c r="AE455" s="3">
        <v>292</v>
      </c>
      <c r="AF455" s="3" t="str">
        <f>IFERROR(MID(VLOOKUP($B455,Seqs!$A:$B,2,0),AG455,1),"")</f>
        <v>C</v>
      </c>
      <c r="AG455" s="3">
        <v>296</v>
      </c>
      <c r="AH455" s="3" t="str">
        <f>IFERROR(MID(VLOOKUP($B455,Seqs!$A:$B,2,0),AI455,1),"")</f>
        <v>T</v>
      </c>
      <c r="AI455" s="3">
        <v>298</v>
      </c>
      <c r="AJ455" s="3" t="str">
        <f>IFERROR(MID(VLOOKUP($B455,Seqs!$A:$B,2,0),AK455,1),"")</f>
        <v>N</v>
      </c>
      <c r="AK455" s="3">
        <v>304</v>
      </c>
      <c r="AL455" s="3" t="str">
        <f>IFERROR(MID(VLOOKUP($B455,Seqs!$A:$B,2,0),AM455,1),"")</f>
        <v>A</v>
      </c>
      <c r="AM455" s="3">
        <v>337</v>
      </c>
      <c r="AN455" s="3" t="str">
        <f>IFERROR(MID(VLOOKUP($B455,Seqs!$A:$B,2,0),AO455,1),"")</f>
        <v>D</v>
      </c>
      <c r="AO455" s="3">
        <v>344</v>
      </c>
      <c r="AP455" s="3" t="str">
        <f>IFERROR(MID(VLOOKUP($B455,Seqs!$A:$B,2,0),AQ455,1),"")</f>
        <v>F</v>
      </c>
      <c r="AQ455" s="3">
        <v>367</v>
      </c>
      <c r="AR455" s="3" t="str">
        <f>IFERROR(MID(VLOOKUP($B455,Seqs!$A:$B,2,0),AS455,1),"")</f>
        <v>R</v>
      </c>
      <c r="AS455" s="3">
        <v>380</v>
      </c>
      <c r="AT455" s="3" t="str">
        <f>IFERROR(MID(VLOOKUP($B455,Seqs!$A:$B,2,0),AU455,1),"")</f>
        <v>V</v>
      </c>
      <c r="AU455" s="3">
        <v>405</v>
      </c>
      <c r="AV455" s="3" t="str">
        <f>IFERROR(MID(VLOOKUP($B455,Seqs!$A:$B,2,0),AW455,1),"")</f>
        <v>N</v>
      </c>
      <c r="AW455" s="3">
        <v>406</v>
      </c>
      <c r="AX455" s="3" t="str">
        <f>IFERROR(MID(VLOOKUP($B455,Seqs!$A:$B,2,0),AY455,1),"")</f>
        <v>L</v>
      </c>
      <c r="AY455" s="3">
        <v>422</v>
      </c>
      <c r="AZ455" s="77" t="str">
        <f>VLOOKUP(B455,Classification!A:D,2,0)</f>
        <v>B1</v>
      </c>
      <c r="BA455" s="94" t="str">
        <f>VLOOKUP(B455,Classification!A:D,4,0)</f>
        <v>Glucagonreceptorfamily</v>
      </c>
      <c r="BB455" s="27" t="b">
        <f t="shared" si="4221"/>
        <v>1</v>
      </c>
      <c r="BC455" s="23">
        <f t="shared" si="4222"/>
        <v>238</v>
      </c>
      <c r="BD455" s="4" t="s">
        <v>23</v>
      </c>
      <c r="BE455" s="3" t="s">
        <v>1370</v>
      </c>
      <c r="BF455" s="118">
        <v>3</v>
      </c>
      <c r="BG455" s="49" t="s">
        <v>1</v>
      </c>
      <c r="BH455" s="49" t="s">
        <v>1</v>
      </c>
      <c r="BI455" s="1"/>
      <c r="BJ455" s="70" t="s">
        <v>1283</v>
      </c>
      <c r="BK455" s="57" t="s">
        <v>1283</v>
      </c>
      <c r="BL455" s="57" t="s">
        <v>1283</v>
      </c>
      <c r="BM455" s="57" t="s">
        <v>1283</v>
      </c>
      <c r="BN455" s="57" t="s">
        <v>1283</v>
      </c>
      <c r="BO455" s="57" t="s">
        <v>1283</v>
      </c>
      <c r="BP455" s="57" t="s">
        <v>1283</v>
      </c>
      <c r="BQ455" s="57" t="s">
        <v>1283</v>
      </c>
      <c r="BR455" s="57" t="s">
        <v>1283</v>
      </c>
      <c r="BS455" s="57" t="s">
        <v>1283</v>
      </c>
      <c r="BT455" s="57" t="s">
        <v>1283</v>
      </c>
      <c r="BU455" s="57" t="s">
        <v>1283</v>
      </c>
      <c r="BV455" s="70">
        <f t="shared" si="4223"/>
        <v>136</v>
      </c>
      <c r="BW455" s="71">
        <f t="shared" si="4224"/>
        <v>170</v>
      </c>
      <c r="BX455" s="72">
        <f t="shared" si="4225"/>
        <v>174</v>
      </c>
      <c r="BY455" s="71" t="str">
        <f t="shared" si="4226"/>
        <v>-</v>
      </c>
      <c r="BZ455" s="72">
        <f t="shared" si="4227"/>
        <v>224</v>
      </c>
      <c r="CA455" s="71" t="str">
        <f t="shared" si="4228"/>
        <v>-</v>
      </c>
      <c r="CB455" s="72">
        <f t="shared" si="4229"/>
        <v>262</v>
      </c>
      <c r="CC455" s="71">
        <f t="shared" si="4230"/>
        <v>296</v>
      </c>
      <c r="CD455" s="72">
        <f t="shared" si="4231"/>
        <v>304</v>
      </c>
      <c r="CE455" s="71">
        <f t="shared" si="4232"/>
        <v>344</v>
      </c>
      <c r="CF455" s="72">
        <f t="shared" si="4233"/>
        <v>380</v>
      </c>
      <c r="CG455" s="71">
        <f t="shared" si="4234"/>
        <v>406</v>
      </c>
      <c r="CH455" s="70">
        <f t="shared" si="4235"/>
        <v>169</v>
      </c>
      <c r="CI455" s="71">
        <f t="shared" si="4236"/>
        <v>173</v>
      </c>
      <c r="CJ455" s="72">
        <f t="shared" si="4237"/>
        <v>202</v>
      </c>
      <c r="CK455" s="72" t="str">
        <f t="shared" si="4238"/>
        <v>-</v>
      </c>
      <c r="CL455" s="72">
        <f t="shared" si="4239"/>
        <v>257</v>
      </c>
      <c r="CM455" s="72" t="str">
        <f t="shared" si="4240"/>
        <v>-</v>
      </c>
      <c r="CN455" s="72">
        <f t="shared" si="4241"/>
        <v>292</v>
      </c>
      <c r="CO455" s="72">
        <f t="shared" si="4242"/>
        <v>298</v>
      </c>
      <c r="CP455" s="72">
        <f t="shared" si="4243"/>
        <v>337</v>
      </c>
      <c r="CQ455" s="72">
        <f t="shared" si="4244"/>
        <v>367</v>
      </c>
      <c r="CR455" s="72">
        <f t="shared" si="4245"/>
        <v>405</v>
      </c>
      <c r="CS455" s="72">
        <f t="shared" si="4246"/>
        <v>422</v>
      </c>
      <c r="CT455" s="23">
        <f t="shared" si="4247"/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29" x14ac:dyDescent="0.2">
      <c r="A456" s="3" t="str">
        <f t="shared" si="4220"/>
        <v>glp1r_human_5NX2</v>
      </c>
      <c r="B456" s="3" t="s">
        <v>405</v>
      </c>
      <c r="C456" s="3" t="s">
        <v>1414</v>
      </c>
      <c r="D456" s="3" t="str">
        <f>IFERROR(MID(VLOOKUP($B456,Seqs!$A:$B,2,0),E456,1),"")</f>
        <v>E</v>
      </c>
      <c r="E456" s="3">
        <v>138</v>
      </c>
      <c r="F456" s="3" t="str">
        <f>IFERROR(MID(VLOOKUP($B456,Seqs!$A:$B,2,0),G456,1),"")</f>
        <v>F</v>
      </c>
      <c r="G456" s="3">
        <v>169</v>
      </c>
      <c r="H456" s="3" t="str">
        <f>IFERROR(MID(VLOOKUP($B456,Seqs!$A:$B,2,0),I456,1),"")</f>
        <v>R</v>
      </c>
      <c r="I456" s="23">
        <v>170</v>
      </c>
      <c r="J456" s="3" t="str">
        <f>IFERROR(MID(VLOOKUP($B456,Seqs!$A:$B,2,0),K456,1),"")</f>
        <v>H</v>
      </c>
      <c r="K456" s="23">
        <v>173</v>
      </c>
      <c r="L456" s="3" t="str">
        <f>IFERROR(MID(VLOOKUP($B456,Seqs!$A:$B,2,0),M456,1),"")</f>
        <v>C</v>
      </c>
      <c r="M456" s="23">
        <v>174</v>
      </c>
      <c r="N456" s="3" t="str">
        <f>IFERROR(MID(VLOOKUP($B456,Seqs!$A:$B,2,0),O456,1),"")</f>
        <v>S</v>
      </c>
      <c r="O456" s="3">
        <v>206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L</v>
      </c>
      <c r="U456" s="3">
        <v>224</v>
      </c>
      <c r="V456" s="3" t="str">
        <f>IFERROR(MID(VLOOKUP($B456,Seqs!$A:$B,2,0),W456,1),"")</f>
        <v>F</v>
      </c>
      <c r="W456" s="3">
        <v>257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E</v>
      </c>
      <c r="AC456" s="3">
        <v>262</v>
      </c>
      <c r="AD456" s="3" t="str">
        <f>IFERROR(MID(VLOOKUP($B456,Seqs!$A:$B,2,0),AE456,1),"")</f>
        <v>Y</v>
      </c>
      <c r="AE456" s="3">
        <v>291</v>
      </c>
      <c r="AF456" s="3" t="str">
        <f>IFERROR(MID(VLOOKUP($B456,Seqs!$A:$B,2,0),AG456,1),"")</f>
        <v>C</v>
      </c>
      <c r="AG456" s="3">
        <v>296</v>
      </c>
      <c r="AH456" s="3" t="str">
        <f>IFERROR(MID(VLOOKUP($B456,Seqs!$A:$B,2,0),AI456,1),"")</f>
        <v>T</v>
      </c>
      <c r="AI456" s="3">
        <v>298</v>
      </c>
      <c r="AJ456" s="3" t="str">
        <f>IFERROR(MID(VLOOKUP($B456,Seqs!$A:$B,2,0),AK456,1),"")</f>
        <v>N</v>
      </c>
      <c r="AK456" s="3">
        <v>302</v>
      </c>
      <c r="AL456" s="3" t="str">
        <f>IFERROR(MID(VLOOKUP($B456,Seqs!$A:$B,2,0),AM456,1),"")</f>
        <v>L</v>
      </c>
      <c r="AM456" s="3">
        <v>335</v>
      </c>
      <c r="AN456" s="3" t="str">
        <f>IFERROR(MID(VLOOKUP($B456,Seqs!$A:$B,2,0),AO456,1),"")</f>
        <v>M</v>
      </c>
      <c r="AO456" s="3">
        <v>340</v>
      </c>
      <c r="AP456" s="3" t="str">
        <f>IFERROR(MID(VLOOKUP($B456,Seqs!$A:$B,2,0),AQ456,1),"")</f>
        <v>F</v>
      </c>
      <c r="AQ456" s="3">
        <v>369</v>
      </c>
      <c r="AR456" s="3" t="str">
        <f>IFERROR(MID(VLOOKUP($B456,Seqs!$A:$B,2,0),AS456,1),"")</f>
        <v>G</v>
      </c>
      <c r="AS456" s="3">
        <v>377</v>
      </c>
      <c r="AT456" s="3" t="str">
        <f>IFERROR(MID(VLOOKUP($B456,Seqs!$A:$B,2,0),AU456,1),"")</f>
        <v>V</v>
      </c>
      <c r="AU456" s="3">
        <v>405</v>
      </c>
      <c r="AV456" s="3" t="str">
        <f>IFERROR(MID(VLOOKUP($B456,Seqs!$A:$B,2,0),AW456,1),"")</f>
        <v>N</v>
      </c>
      <c r="AW456" s="3">
        <v>406</v>
      </c>
      <c r="AX456" s="3" t="str">
        <f>IFERROR(MID(VLOOKUP($B456,Seqs!$A:$B,2,0),AY456,1),"")</f>
        <v>S</v>
      </c>
      <c r="AY456" s="3">
        <v>416</v>
      </c>
      <c r="AZ456" s="77" t="str">
        <f>VLOOKUP(B456,Classification!A:D,2,0)</f>
        <v>B1</v>
      </c>
      <c r="BA456" s="94" t="str">
        <f>VLOOKUP(B456,Classification!A:D,4,0)</f>
        <v>Glucagonreceptorfamily</v>
      </c>
      <c r="BB456" s="27" t="b">
        <f t="shared" si="4221"/>
        <v>1</v>
      </c>
      <c r="BC456" s="23">
        <f t="shared" si="4222"/>
        <v>242</v>
      </c>
      <c r="BD456" s="4" t="s">
        <v>1425</v>
      </c>
      <c r="BE456" s="3" t="s">
        <v>1424</v>
      </c>
      <c r="BF456" s="118">
        <v>3.7</v>
      </c>
      <c r="BG456" s="49" t="s">
        <v>1</v>
      </c>
      <c r="BH456" s="49" t="s">
        <v>1</v>
      </c>
      <c r="BI456" s="1"/>
      <c r="BJ456" s="70" t="s">
        <v>1283</v>
      </c>
      <c r="BK456" s="57" t="s">
        <v>1283</v>
      </c>
      <c r="BL456" s="57" t="s">
        <v>1283</v>
      </c>
      <c r="BM456" s="57" t="s">
        <v>1283</v>
      </c>
      <c r="BN456" s="57" t="s">
        <v>1283</v>
      </c>
      <c r="BO456" s="57" t="s">
        <v>1283</v>
      </c>
      <c r="BP456" s="57" t="s">
        <v>1283</v>
      </c>
      <c r="BQ456" s="57" t="s">
        <v>1283</v>
      </c>
      <c r="BR456" s="57" t="s">
        <v>1283</v>
      </c>
      <c r="BS456" s="57" t="s">
        <v>1283</v>
      </c>
      <c r="BT456" s="57" t="s">
        <v>1283</v>
      </c>
      <c r="BU456" s="57" t="s">
        <v>1283</v>
      </c>
      <c r="BV456" s="70">
        <f t="shared" si="4223"/>
        <v>138</v>
      </c>
      <c r="BW456" s="71">
        <f t="shared" si="4224"/>
        <v>170</v>
      </c>
      <c r="BX456" s="72">
        <f t="shared" si="4225"/>
        <v>174</v>
      </c>
      <c r="BY456" s="71" t="str">
        <f t="shared" si="4226"/>
        <v>-</v>
      </c>
      <c r="BZ456" s="72">
        <f t="shared" si="4227"/>
        <v>224</v>
      </c>
      <c r="CA456" s="71" t="str">
        <f t="shared" si="4228"/>
        <v>-</v>
      </c>
      <c r="CB456" s="72">
        <f t="shared" si="4229"/>
        <v>262</v>
      </c>
      <c r="CC456" s="71">
        <f t="shared" si="4230"/>
        <v>296</v>
      </c>
      <c r="CD456" s="72">
        <f t="shared" si="4231"/>
        <v>302</v>
      </c>
      <c r="CE456" s="71">
        <f t="shared" si="4232"/>
        <v>340</v>
      </c>
      <c r="CF456" s="72">
        <f t="shared" si="4233"/>
        <v>377</v>
      </c>
      <c r="CG456" s="71">
        <f t="shared" si="4234"/>
        <v>406</v>
      </c>
      <c r="CH456" s="70">
        <f t="shared" si="4235"/>
        <v>169</v>
      </c>
      <c r="CI456" s="71">
        <f t="shared" si="4236"/>
        <v>173</v>
      </c>
      <c r="CJ456" s="72">
        <f t="shared" si="4237"/>
        <v>206</v>
      </c>
      <c r="CK456" s="72" t="str">
        <f t="shared" si="4238"/>
        <v>-</v>
      </c>
      <c r="CL456" s="72">
        <f t="shared" si="4239"/>
        <v>257</v>
      </c>
      <c r="CM456" s="72" t="str">
        <f t="shared" si="4240"/>
        <v>-</v>
      </c>
      <c r="CN456" s="72">
        <f t="shared" si="4241"/>
        <v>291</v>
      </c>
      <c r="CO456" s="72">
        <f t="shared" si="4242"/>
        <v>298</v>
      </c>
      <c r="CP456" s="72">
        <f t="shared" si="4243"/>
        <v>335</v>
      </c>
      <c r="CQ456" s="72">
        <f t="shared" si="4244"/>
        <v>369</v>
      </c>
      <c r="CR456" s="72">
        <f t="shared" si="4245"/>
        <v>405</v>
      </c>
      <c r="CS456" s="72">
        <f t="shared" si="4246"/>
        <v>416</v>
      </c>
      <c r="CT456" s="23">
        <f t="shared" si="4247"/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29" x14ac:dyDescent="0.2">
      <c r="A457" s="3" t="str">
        <f t="shared" si="4220"/>
        <v>glp1r_human_6B3J</v>
      </c>
      <c r="B457" s="3" t="s">
        <v>405</v>
      </c>
      <c r="C457" s="3" t="s">
        <v>1469</v>
      </c>
      <c r="D457" s="3" t="str">
        <f>IFERROR(MID(VLOOKUP($B457,Seqs!$A:$B,2,0),E457,1),"")</f>
        <v>E</v>
      </c>
      <c r="E457" s="3">
        <v>138</v>
      </c>
      <c r="F457" s="3" t="str">
        <f>IFERROR(MID(VLOOKUP($B457,Seqs!$A:$B,2,0),G457,1),"")</f>
        <v>F</v>
      </c>
      <c r="G457" s="3">
        <v>169</v>
      </c>
      <c r="H457" s="3" t="str">
        <f>IFERROR(MID(VLOOKUP($B457,Seqs!$A:$B,2,0),I457,1),"")</f>
        <v/>
      </c>
      <c r="I457" s="23" t="s">
        <v>23</v>
      </c>
      <c r="J457" s="3" t="str">
        <f>IFERROR(MID(VLOOKUP($B457,Seqs!$A:$B,2,0),K457,1),"")</f>
        <v/>
      </c>
      <c r="K457" s="23" t="s">
        <v>23</v>
      </c>
      <c r="L457" s="3" t="str">
        <f>IFERROR(MID(VLOOKUP($B457,Seqs!$A:$B,2,0),M457,1),"")</f>
        <v>C</v>
      </c>
      <c r="M457" s="23">
        <v>174</v>
      </c>
      <c r="N457" s="3" t="str">
        <f>IFERROR(MID(VLOOKUP($B457,Seqs!$A:$B,2,0),O457,1),"")</f>
        <v>Y</v>
      </c>
      <c r="O457" s="3">
        <v>205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S</v>
      </c>
      <c r="U457" s="3">
        <v>225</v>
      </c>
      <c r="V457" s="3" t="str">
        <f>IFERROR(MID(VLOOKUP($B457,Seqs!$A:$B,2,0),W457,1),"")</f>
        <v>F</v>
      </c>
      <c r="W457" s="3">
        <v>257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S</v>
      </c>
      <c r="AC457" s="3">
        <v>261</v>
      </c>
      <c r="AD457" s="3" t="str">
        <f>IFERROR(MID(VLOOKUP($B457,Seqs!$A:$B,2,0),AE457,1),"")</f>
        <v>E</v>
      </c>
      <c r="AE457" s="3">
        <v>292</v>
      </c>
      <c r="AF457" s="3" t="str">
        <f>IFERROR(MID(VLOOKUP($B457,Seqs!$A:$B,2,0),AG457,1),"")</f>
        <v>C</v>
      </c>
      <c r="AG457" s="3">
        <v>296</v>
      </c>
      <c r="AH457" s="3" t="str">
        <f>IFERROR(MID(VLOOKUP($B457,Seqs!$A:$B,2,0),AI457,1),"")</f>
        <v>T</v>
      </c>
      <c r="AI457" s="3">
        <v>298</v>
      </c>
      <c r="AJ457" s="3" t="str">
        <f>IFERROR(MID(VLOOKUP($B457,Seqs!$A:$B,2,0),AK457,1),"")</f>
        <v>N</v>
      </c>
      <c r="AK457" s="3">
        <v>302</v>
      </c>
      <c r="AL457" s="3" t="str">
        <f>IFERROR(MID(VLOOKUP($B457,Seqs!$A:$B,2,0),AM457,1),"")</f>
        <v>A</v>
      </c>
      <c r="AM457" s="3">
        <v>337</v>
      </c>
      <c r="AN457" s="3" t="str">
        <f>IFERROR(MID(VLOOKUP($B457,Seqs!$A:$B,2,0),AO457,1),"")</f>
        <v>D</v>
      </c>
      <c r="AO457" s="3">
        <v>344</v>
      </c>
      <c r="AP457" s="3" t="str">
        <f>IFERROR(MID(VLOOKUP($B457,Seqs!$A:$B,2,0),AQ457,1),"")</f>
        <v>F</v>
      </c>
      <c r="AQ457" s="3">
        <v>369</v>
      </c>
      <c r="AR457" s="3" t="str">
        <f>IFERROR(MID(VLOOKUP($B457,Seqs!$A:$B,2,0),AS457,1),"")</f>
        <v>R</v>
      </c>
      <c r="AS457" s="3">
        <v>380</v>
      </c>
      <c r="AT457" s="3" t="str">
        <f>IFERROR(MID(VLOOKUP($B457,Seqs!$A:$B,2,0),AU457,1),"")</f>
        <v>V</v>
      </c>
      <c r="AU457" s="3">
        <v>405</v>
      </c>
      <c r="AV457" s="3" t="str">
        <f>IFERROR(MID(VLOOKUP($B457,Seqs!$A:$B,2,0),AW457,1),"")</f>
        <v>N</v>
      </c>
      <c r="AW457" s="3">
        <v>406</v>
      </c>
      <c r="AX457" s="3" t="str">
        <f>IFERROR(MID(VLOOKUP($B457,Seqs!$A:$B,2,0),AY457,1),"")</f>
        <v>E</v>
      </c>
      <c r="AY457" s="3">
        <v>423</v>
      </c>
      <c r="AZ457" s="77" t="str">
        <f>VLOOKUP(B457,Classification!A:D,2,0)</f>
        <v>B1</v>
      </c>
      <c r="BA457" s="94" t="str">
        <f>VLOOKUP(B457,Classification!A:D,4,0)</f>
        <v>Glucagonreceptorfamily</v>
      </c>
      <c r="BB457" s="27" t="b">
        <f t="shared" si="4221"/>
        <v>1</v>
      </c>
      <c r="BC457" s="23">
        <f t="shared" si="4222"/>
        <v>241</v>
      </c>
      <c r="BD457" s="4" t="s">
        <v>1371</v>
      </c>
      <c r="BE457" s="3" t="s">
        <v>1287</v>
      </c>
      <c r="BF457" s="118">
        <v>3.3</v>
      </c>
      <c r="BG457" s="49" t="s">
        <v>1418</v>
      </c>
      <c r="BH457" s="49" t="s">
        <v>1418</v>
      </c>
      <c r="BI457" s="1"/>
      <c r="BJ457" s="70" t="s">
        <v>1283</v>
      </c>
      <c r="BK457" s="57" t="s">
        <v>1283</v>
      </c>
      <c r="BL457" s="57" t="s">
        <v>1283</v>
      </c>
      <c r="BM457" s="57" t="s">
        <v>1283</v>
      </c>
      <c r="BN457" s="57" t="s">
        <v>1283</v>
      </c>
      <c r="BO457" s="57" t="s">
        <v>1283</v>
      </c>
      <c r="BP457" s="57" t="s">
        <v>1283</v>
      </c>
      <c r="BQ457" s="57" t="s">
        <v>1283</v>
      </c>
      <c r="BR457" s="57" t="s">
        <v>1283</v>
      </c>
      <c r="BS457" s="57" t="s">
        <v>1283</v>
      </c>
      <c r="BT457" s="57" t="s">
        <v>1283</v>
      </c>
      <c r="BU457" s="57" t="s">
        <v>1283</v>
      </c>
      <c r="BV457" s="70">
        <f t="shared" si="4223"/>
        <v>138</v>
      </c>
      <c r="BW457" s="71" t="str">
        <f t="shared" si="4224"/>
        <v>-</v>
      </c>
      <c r="BX457" s="72">
        <f t="shared" si="4225"/>
        <v>174</v>
      </c>
      <c r="BY457" s="71" t="str">
        <f t="shared" si="4226"/>
        <v>-</v>
      </c>
      <c r="BZ457" s="72">
        <f t="shared" si="4227"/>
        <v>225</v>
      </c>
      <c r="CA457" s="71" t="str">
        <f t="shared" si="4228"/>
        <v>-</v>
      </c>
      <c r="CB457" s="72">
        <f t="shared" si="4229"/>
        <v>261</v>
      </c>
      <c r="CC457" s="71">
        <f t="shared" si="4230"/>
        <v>296</v>
      </c>
      <c r="CD457" s="72">
        <f t="shared" si="4231"/>
        <v>302</v>
      </c>
      <c r="CE457" s="71">
        <f t="shared" si="4232"/>
        <v>344</v>
      </c>
      <c r="CF457" s="72">
        <f t="shared" si="4233"/>
        <v>380</v>
      </c>
      <c r="CG457" s="71">
        <f t="shared" si="4234"/>
        <v>406</v>
      </c>
      <c r="CH457" s="70">
        <f t="shared" si="4235"/>
        <v>169</v>
      </c>
      <c r="CI457" s="71" t="str">
        <f t="shared" si="4236"/>
        <v>-</v>
      </c>
      <c r="CJ457" s="72">
        <f t="shared" si="4237"/>
        <v>205</v>
      </c>
      <c r="CK457" s="72" t="str">
        <f t="shared" si="4238"/>
        <v>-</v>
      </c>
      <c r="CL457" s="72">
        <f t="shared" si="4239"/>
        <v>257</v>
      </c>
      <c r="CM457" s="72" t="str">
        <f t="shared" si="4240"/>
        <v>-</v>
      </c>
      <c r="CN457" s="72">
        <f t="shared" si="4241"/>
        <v>292</v>
      </c>
      <c r="CO457" s="72">
        <f t="shared" si="4242"/>
        <v>298</v>
      </c>
      <c r="CP457" s="72">
        <f t="shared" si="4243"/>
        <v>337</v>
      </c>
      <c r="CQ457" s="72">
        <f t="shared" si="4244"/>
        <v>369</v>
      </c>
      <c r="CR457" s="72">
        <f t="shared" si="4245"/>
        <v>405</v>
      </c>
      <c r="CS457" s="72">
        <f t="shared" si="4246"/>
        <v>423</v>
      </c>
      <c r="CT457" s="23" t="e">
        <f t="shared" si="4247"/>
        <v>#VALUE!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29" x14ac:dyDescent="0.2">
      <c r="A458" s="3" t="str">
        <f t="shared" ref="A458" si="4360">CONCATENATE(B458,"_",C458)</f>
        <v>glp1r_human_6KJV</v>
      </c>
      <c r="B458" s="3" t="s">
        <v>405</v>
      </c>
      <c r="C458" s="3" t="s">
        <v>1600</v>
      </c>
      <c r="D458" s="3" t="str">
        <f>IFERROR(MID(VLOOKUP($B458,Seqs!$A:$B,2,0),E458,1),"")</f>
        <v>S</v>
      </c>
      <c r="E458" s="3">
        <v>136</v>
      </c>
      <c r="F458" s="3" t="str">
        <f>IFERROR(MID(VLOOKUP($B458,Seqs!$A:$B,2,0),G458,1),"")</f>
        <v>F</v>
      </c>
      <c r="G458" s="3">
        <v>169</v>
      </c>
      <c r="H458" s="3" t="str">
        <f>IFERROR(MID(VLOOKUP($B458,Seqs!$A:$B,2,0),I458,1),"")</f>
        <v>R</v>
      </c>
      <c r="I458" s="23">
        <v>170</v>
      </c>
      <c r="J458" s="3" t="str">
        <f>IFERROR(MID(VLOOKUP($B458,Seqs!$A:$B,2,0),K458,1),"")</f>
        <v>H</v>
      </c>
      <c r="K458" s="23">
        <v>173</v>
      </c>
      <c r="L458" s="3" t="str">
        <f>IFERROR(MID(VLOOKUP($B458,Seqs!$A:$B,2,0),M458,1),"")</f>
        <v>C</v>
      </c>
      <c r="M458" s="23">
        <v>174</v>
      </c>
      <c r="N458" s="3" t="str">
        <f>IFERROR(MID(VLOOKUP($B458,Seqs!$A:$B,2,0),O458,1),"")</f>
        <v>K</v>
      </c>
      <c r="O458" s="3">
        <v>202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L</v>
      </c>
      <c r="U458" s="3">
        <v>224</v>
      </c>
      <c r="V458" s="3" t="str">
        <f>IFERROR(MID(VLOOKUP($B458,Seqs!$A:$B,2,0),W458,1),"")</f>
        <v>F</v>
      </c>
      <c r="W458" s="3">
        <v>257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E</v>
      </c>
      <c r="AC458" s="3">
        <v>262</v>
      </c>
      <c r="AD458" s="3" t="str">
        <f>IFERROR(MID(VLOOKUP($B458,Seqs!$A:$B,2,0),AE458,1),"")</f>
        <v>E</v>
      </c>
      <c r="AE458" s="3">
        <v>292</v>
      </c>
      <c r="AF458" s="3" t="str">
        <f>IFERROR(MID(VLOOKUP($B458,Seqs!$A:$B,2,0),AG458,1),"")</f>
        <v>C</v>
      </c>
      <c r="AG458" s="3">
        <v>296</v>
      </c>
      <c r="AH458" s="3" t="str">
        <f>IFERROR(MID(VLOOKUP($B458,Seqs!$A:$B,2,0),AI458,1),"")</f>
        <v>T</v>
      </c>
      <c r="AI458" s="3">
        <v>298</v>
      </c>
      <c r="AJ458" s="3" t="str">
        <f>IFERROR(MID(VLOOKUP($B458,Seqs!$A:$B,2,0),AK458,1),"")</f>
        <v>M</v>
      </c>
      <c r="AK458" s="3">
        <v>303</v>
      </c>
      <c r="AL458" s="3" t="str">
        <f>IFERROR(MID(VLOOKUP($B458,Seqs!$A:$B,2,0),AM458,1),"")</f>
        <v>N</v>
      </c>
      <c r="AM458" s="3">
        <v>338</v>
      </c>
      <c r="AN458" s="3" t="str">
        <f>IFERROR(MID(VLOOKUP($B458,Seqs!$A:$B,2,0),AO458,1),"")</f>
        <v>D</v>
      </c>
      <c r="AO458" s="3">
        <v>344</v>
      </c>
      <c r="AP458" s="3" t="str">
        <f>IFERROR(MID(VLOOKUP($B458,Seqs!$A:$B,2,0),AQ458,1),"")</f>
        <v>F</v>
      </c>
      <c r="AQ458" s="3">
        <v>367</v>
      </c>
      <c r="AR458" s="3" t="str">
        <f>IFERROR(MID(VLOOKUP($B458,Seqs!$A:$B,2,0),AS458,1),"")</f>
        <v>R</v>
      </c>
      <c r="AS458" s="3">
        <v>380</v>
      </c>
      <c r="AT458" s="3" t="str">
        <f>IFERROR(MID(VLOOKUP($B458,Seqs!$A:$B,2,0),AU458,1),"")</f>
        <v>V</v>
      </c>
      <c r="AU458" s="3">
        <v>405</v>
      </c>
      <c r="AV458" s="3" t="str">
        <f>IFERROR(MID(VLOOKUP($B458,Seqs!$A:$B,2,0),AW458,1),"")</f>
        <v>N</v>
      </c>
      <c r="AW458" s="3">
        <v>406</v>
      </c>
      <c r="AX458" s="3" t="str">
        <f>IFERROR(MID(VLOOKUP($B458,Seqs!$A:$B,2,0),AY458,1),"")</f>
        <v>L</v>
      </c>
      <c r="AY458" s="3">
        <v>422</v>
      </c>
      <c r="AZ458" s="77" t="str">
        <f>VLOOKUP(B458,Classification!A:D,2,0)</f>
        <v>B1</v>
      </c>
      <c r="BA458" s="94" t="str">
        <f>VLOOKUP(B458,Classification!A:D,4,0)</f>
        <v>Glucagonreceptorfamily</v>
      </c>
      <c r="BB458" s="27" t="b">
        <f t="shared" ref="BB458" si="4361">AND(E458&lt;G458,OR(G458&lt;I458,I458="-"),OR(I458&lt;K458,I458="-"),OR(K458&lt;M458,K458="-"),M458&lt;O458,OR(O458&lt;Q458,Q458="-"),OR(Q458&lt;S458,Q458="-"),OR(S458&lt;U458,S458="-"),U458&lt;W458,OR(W458&lt;Y458,Y458="-"),OR(Y458&lt;AA458,Y458="-"),OR(AA458&lt;AC458,AA458="-"),AC458&lt;AE458,OR(AE458&lt;AG458,AG458="-"),OR(AG458&lt;AI458,AG458="-"),OR(AI458&lt;AK458,AI458="-"),AK458&lt;AM458,AM458&lt;AO458,AO458&lt;AQ458,AQ458&lt;AS458,AS458&lt;AU458,OR(AU458&lt;AW458,AW458="-"),OR(AW458&lt;AY458,AW458="-"))</f>
        <v>1</v>
      </c>
      <c r="BC458" s="23">
        <f t="shared" ref="BC458" si="4362">_xlfn.AGGREGATE(9,6,CH458:CS458)-_xlfn.AGGREGATE(9,6,BV458:CG458)+12</f>
        <v>240</v>
      </c>
      <c r="BD458" s="4" t="s">
        <v>23</v>
      </c>
      <c r="BE458" s="3" t="s">
        <v>1370</v>
      </c>
      <c r="BF458" s="118">
        <v>2.8</v>
      </c>
      <c r="BG458" s="49" t="s">
        <v>1277</v>
      </c>
      <c r="BH458" s="49" t="s">
        <v>1277</v>
      </c>
      <c r="BI458" s="1"/>
      <c r="BJ458" s="70" t="s">
        <v>1283</v>
      </c>
      <c r="BK458" s="57" t="s">
        <v>1283</v>
      </c>
      <c r="BL458" s="57" t="s">
        <v>1283</v>
      </c>
      <c r="BM458" s="57" t="s">
        <v>1283</v>
      </c>
      <c r="BN458" s="57" t="s">
        <v>1283</v>
      </c>
      <c r="BO458" s="57" t="s">
        <v>1283</v>
      </c>
      <c r="BP458" s="57" t="s">
        <v>1283</v>
      </c>
      <c r="BQ458" s="57" t="s">
        <v>1283</v>
      </c>
      <c r="BR458" s="57" t="s">
        <v>1283</v>
      </c>
      <c r="BS458" s="57" t="s">
        <v>1283</v>
      </c>
      <c r="BT458" s="57" t="s">
        <v>1283</v>
      </c>
      <c r="BU458" s="57" t="s">
        <v>1283</v>
      </c>
      <c r="BV458" s="70">
        <f t="shared" ref="BV458" si="4363">E458</f>
        <v>136</v>
      </c>
      <c r="BW458" s="71">
        <f t="shared" ref="BW458" si="4364">I458</f>
        <v>170</v>
      </c>
      <c r="BX458" s="72">
        <f t="shared" ref="BX458" si="4365">M458</f>
        <v>174</v>
      </c>
      <c r="BY458" s="71" t="str">
        <f t="shared" ref="BY458" si="4366">Q458</f>
        <v>-</v>
      </c>
      <c r="BZ458" s="72">
        <f t="shared" ref="BZ458" si="4367">U458</f>
        <v>224</v>
      </c>
      <c r="CA458" s="71" t="str">
        <f t="shared" ref="CA458" si="4368">Y458</f>
        <v>-</v>
      </c>
      <c r="CB458" s="72">
        <f t="shared" ref="CB458" si="4369">AC458</f>
        <v>262</v>
      </c>
      <c r="CC458" s="71">
        <f t="shared" ref="CC458" si="4370">AG458</f>
        <v>296</v>
      </c>
      <c r="CD458" s="72">
        <f t="shared" ref="CD458" si="4371">AK458</f>
        <v>303</v>
      </c>
      <c r="CE458" s="71">
        <f t="shared" ref="CE458" si="4372">AO458</f>
        <v>344</v>
      </c>
      <c r="CF458" s="72">
        <f t="shared" ref="CF458" si="4373">AS458</f>
        <v>380</v>
      </c>
      <c r="CG458" s="71">
        <f t="shared" ref="CG458" si="4374">AW458</f>
        <v>406</v>
      </c>
      <c r="CH458" s="70">
        <f t="shared" ref="CH458" si="4375">G458</f>
        <v>169</v>
      </c>
      <c r="CI458" s="71">
        <f t="shared" ref="CI458" si="4376">K458</f>
        <v>173</v>
      </c>
      <c r="CJ458" s="72">
        <f t="shared" ref="CJ458" si="4377">O458</f>
        <v>202</v>
      </c>
      <c r="CK458" s="72" t="str">
        <f t="shared" ref="CK458" si="4378">S458</f>
        <v>-</v>
      </c>
      <c r="CL458" s="72">
        <f t="shared" ref="CL458" si="4379">W458</f>
        <v>257</v>
      </c>
      <c r="CM458" s="72" t="str">
        <f t="shared" ref="CM458" si="4380">AA458</f>
        <v>-</v>
      </c>
      <c r="CN458" s="72">
        <f t="shared" ref="CN458" si="4381">AE458</f>
        <v>292</v>
      </c>
      <c r="CO458" s="72">
        <f t="shared" ref="CO458" si="4382">AI458</f>
        <v>298</v>
      </c>
      <c r="CP458" s="72">
        <f t="shared" ref="CP458" si="4383">AM458</f>
        <v>338</v>
      </c>
      <c r="CQ458" s="72">
        <f t="shared" ref="CQ458" si="4384">AQ458</f>
        <v>367</v>
      </c>
      <c r="CR458" s="72">
        <f t="shared" ref="CR458" si="4385">AU458</f>
        <v>405</v>
      </c>
      <c r="CS458" s="72">
        <f t="shared" ref="CS458" si="4386">AY458</f>
        <v>422</v>
      </c>
      <c r="CT458" s="23">
        <f t="shared" ref="CT458" si="4387">M458-K458</f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29" x14ac:dyDescent="0.2">
      <c r="A459" s="3" t="str">
        <f t="shared" ref="A459" si="4388">CONCATENATE(B459,"_",C459)</f>
        <v>glp1r_human_6KK1</v>
      </c>
      <c r="B459" s="3" t="s">
        <v>405</v>
      </c>
      <c r="C459" s="3" t="s">
        <v>1601</v>
      </c>
      <c r="D459" s="3" t="str">
        <f>IFERROR(MID(VLOOKUP($B459,Seqs!$A:$B,2,0),E459,1),"")</f>
        <v>S</v>
      </c>
      <c r="E459" s="3">
        <v>136</v>
      </c>
      <c r="F459" s="3" t="str">
        <f>IFERROR(MID(VLOOKUP($B459,Seqs!$A:$B,2,0),G459,1),"")</f>
        <v>F</v>
      </c>
      <c r="G459" s="3">
        <v>169</v>
      </c>
      <c r="H459" s="3" t="str">
        <f>IFERROR(MID(VLOOKUP($B459,Seqs!$A:$B,2,0),I459,1),"")</f>
        <v>R</v>
      </c>
      <c r="I459" s="23">
        <v>170</v>
      </c>
      <c r="J459" s="3" t="str">
        <f>IFERROR(MID(VLOOKUP($B459,Seqs!$A:$B,2,0),K459,1),"")</f>
        <v>H</v>
      </c>
      <c r="K459" s="23">
        <v>173</v>
      </c>
      <c r="L459" s="3" t="str">
        <f>IFERROR(MID(VLOOKUP($B459,Seqs!$A:$B,2,0),M459,1),"")</f>
        <v>C</v>
      </c>
      <c r="M459" s="23">
        <v>174</v>
      </c>
      <c r="N459" s="3" t="str">
        <f>IFERROR(MID(VLOOKUP($B459,Seqs!$A:$B,2,0),O459,1),"")</f>
        <v>K</v>
      </c>
      <c r="O459" s="3">
        <v>202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L</v>
      </c>
      <c r="U459" s="3">
        <v>224</v>
      </c>
      <c r="V459" s="3" t="str">
        <f>IFERROR(MID(VLOOKUP($B459,Seqs!$A:$B,2,0),W459,1),"")</f>
        <v>F</v>
      </c>
      <c r="W459" s="3">
        <v>257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E</v>
      </c>
      <c r="AC459" s="3">
        <v>262</v>
      </c>
      <c r="AD459" s="3" t="str">
        <f>IFERROR(MID(VLOOKUP($B459,Seqs!$A:$B,2,0),AE459,1),"")</f>
        <v>E</v>
      </c>
      <c r="AE459" s="3">
        <v>292</v>
      </c>
      <c r="AF459" s="3" t="str">
        <f>IFERROR(MID(VLOOKUP($B459,Seqs!$A:$B,2,0),AG459,1),"")</f>
        <v>C</v>
      </c>
      <c r="AG459" s="3">
        <v>296</v>
      </c>
      <c r="AH459" s="3" t="str">
        <f>IFERROR(MID(VLOOKUP($B459,Seqs!$A:$B,2,0),AI459,1),"")</f>
        <v>T</v>
      </c>
      <c r="AI459" s="3">
        <v>298</v>
      </c>
      <c r="AJ459" s="3" t="str">
        <f>IFERROR(MID(VLOOKUP($B459,Seqs!$A:$B,2,0),AK459,1),"")</f>
        <v>M</v>
      </c>
      <c r="AK459" s="3">
        <v>303</v>
      </c>
      <c r="AL459" s="3" t="str">
        <f>IFERROR(MID(VLOOKUP($B459,Seqs!$A:$B,2,0),AM459,1),"")</f>
        <v>N</v>
      </c>
      <c r="AM459" s="3">
        <v>338</v>
      </c>
      <c r="AN459" s="3" t="str">
        <f>IFERROR(MID(VLOOKUP($B459,Seqs!$A:$B,2,0),AO459,1),"")</f>
        <v>D</v>
      </c>
      <c r="AO459" s="3">
        <v>344</v>
      </c>
      <c r="AP459" s="3" t="str">
        <f>IFERROR(MID(VLOOKUP($B459,Seqs!$A:$B,2,0),AQ459,1),"")</f>
        <v>F</v>
      </c>
      <c r="AQ459" s="3">
        <v>367</v>
      </c>
      <c r="AR459" s="3" t="str">
        <f>IFERROR(MID(VLOOKUP($B459,Seqs!$A:$B,2,0),AS459,1),"")</f>
        <v>R</v>
      </c>
      <c r="AS459" s="3">
        <v>380</v>
      </c>
      <c r="AT459" s="3" t="str">
        <f>IFERROR(MID(VLOOKUP($B459,Seqs!$A:$B,2,0),AU459,1),"")</f>
        <v>V</v>
      </c>
      <c r="AU459" s="3">
        <v>405</v>
      </c>
      <c r="AV459" s="3" t="str">
        <f>IFERROR(MID(VLOOKUP($B459,Seqs!$A:$B,2,0),AW459,1),"")</f>
        <v>N</v>
      </c>
      <c r="AW459" s="3">
        <v>406</v>
      </c>
      <c r="AX459" s="3" t="str">
        <f>IFERROR(MID(VLOOKUP($B459,Seqs!$A:$B,2,0),AY459,1),"")</f>
        <v>L</v>
      </c>
      <c r="AY459" s="3">
        <v>422</v>
      </c>
      <c r="AZ459" s="77" t="str">
        <f>VLOOKUP(B459,Classification!A:D,2,0)</f>
        <v>B1</v>
      </c>
      <c r="BA459" s="94" t="str">
        <f>VLOOKUP(B459,Classification!A:D,4,0)</f>
        <v>Glucagonreceptorfamily</v>
      </c>
      <c r="BB459" s="27" t="b">
        <f t="shared" ref="BB459" si="4389">AND(E459&lt;G459,OR(G459&lt;I459,I459="-"),OR(I459&lt;K459,I459="-"),OR(K459&lt;M459,K459="-"),M459&lt;O459,OR(O459&lt;Q459,Q459="-"),OR(Q459&lt;S459,Q459="-"),OR(S459&lt;U459,S459="-"),U459&lt;W459,OR(W459&lt;Y459,Y459="-"),OR(Y459&lt;AA459,Y459="-"),OR(AA459&lt;AC459,AA459="-"),AC459&lt;AE459,OR(AE459&lt;AG459,AG459="-"),OR(AG459&lt;AI459,AG459="-"),OR(AI459&lt;AK459,AI459="-"),AK459&lt;AM459,AM459&lt;AO459,AO459&lt;AQ459,AQ459&lt;AS459,AS459&lt;AU459,OR(AU459&lt;AW459,AW459="-"),OR(AW459&lt;AY459,AW459="-"))</f>
        <v>1</v>
      </c>
      <c r="BC459" s="23">
        <f t="shared" ref="BC459" si="4390">_xlfn.AGGREGATE(9,6,CH459:CS459)-_xlfn.AGGREGATE(9,6,BV459:CG459)+12</f>
        <v>240</v>
      </c>
      <c r="BD459" s="4" t="s">
        <v>23</v>
      </c>
      <c r="BE459" s="3" t="s">
        <v>1370</v>
      </c>
      <c r="BF459" s="118">
        <v>2.8</v>
      </c>
      <c r="BG459" s="49" t="s">
        <v>1277</v>
      </c>
      <c r="BH459" s="49" t="s">
        <v>1277</v>
      </c>
      <c r="BI459" s="1"/>
      <c r="BJ459" s="70" t="s">
        <v>1283</v>
      </c>
      <c r="BK459" s="57" t="s">
        <v>1283</v>
      </c>
      <c r="BL459" s="57" t="s">
        <v>1283</v>
      </c>
      <c r="BM459" s="57" t="s">
        <v>1283</v>
      </c>
      <c r="BN459" s="57" t="s">
        <v>1283</v>
      </c>
      <c r="BO459" s="57" t="s">
        <v>1283</v>
      </c>
      <c r="BP459" s="57" t="s">
        <v>1283</v>
      </c>
      <c r="BQ459" s="57" t="s">
        <v>1283</v>
      </c>
      <c r="BR459" s="57" t="s">
        <v>1283</v>
      </c>
      <c r="BS459" s="57" t="s">
        <v>1283</v>
      </c>
      <c r="BT459" s="57" t="s">
        <v>1283</v>
      </c>
      <c r="BU459" s="57" t="s">
        <v>1283</v>
      </c>
      <c r="BV459" s="70">
        <f t="shared" ref="BV459" si="4391">E459</f>
        <v>136</v>
      </c>
      <c r="BW459" s="71">
        <f t="shared" ref="BW459" si="4392">I459</f>
        <v>170</v>
      </c>
      <c r="BX459" s="72">
        <f t="shared" ref="BX459" si="4393">M459</f>
        <v>174</v>
      </c>
      <c r="BY459" s="71" t="str">
        <f t="shared" ref="BY459" si="4394">Q459</f>
        <v>-</v>
      </c>
      <c r="BZ459" s="72">
        <f t="shared" ref="BZ459" si="4395">U459</f>
        <v>224</v>
      </c>
      <c r="CA459" s="71" t="str">
        <f t="shared" ref="CA459" si="4396">Y459</f>
        <v>-</v>
      </c>
      <c r="CB459" s="72">
        <f t="shared" ref="CB459" si="4397">AC459</f>
        <v>262</v>
      </c>
      <c r="CC459" s="71">
        <f t="shared" ref="CC459" si="4398">AG459</f>
        <v>296</v>
      </c>
      <c r="CD459" s="72">
        <f t="shared" ref="CD459" si="4399">AK459</f>
        <v>303</v>
      </c>
      <c r="CE459" s="71">
        <f t="shared" ref="CE459" si="4400">AO459</f>
        <v>344</v>
      </c>
      <c r="CF459" s="72">
        <f t="shared" ref="CF459" si="4401">AS459</f>
        <v>380</v>
      </c>
      <c r="CG459" s="71">
        <f t="shared" ref="CG459" si="4402">AW459</f>
        <v>406</v>
      </c>
      <c r="CH459" s="70">
        <f t="shared" ref="CH459" si="4403">G459</f>
        <v>169</v>
      </c>
      <c r="CI459" s="71">
        <f t="shared" ref="CI459" si="4404">K459</f>
        <v>173</v>
      </c>
      <c r="CJ459" s="72">
        <f t="shared" ref="CJ459" si="4405">O459</f>
        <v>202</v>
      </c>
      <c r="CK459" s="72" t="str">
        <f t="shared" ref="CK459" si="4406">S459</f>
        <v>-</v>
      </c>
      <c r="CL459" s="72">
        <f t="shared" ref="CL459" si="4407">W459</f>
        <v>257</v>
      </c>
      <c r="CM459" s="72" t="str">
        <f t="shared" ref="CM459" si="4408">AA459</f>
        <v>-</v>
      </c>
      <c r="CN459" s="72">
        <f t="shared" ref="CN459" si="4409">AE459</f>
        <v>292</v>
      </c>
      <c r="CO459" s="72">
        <f t="shared" ref="CO459" si="4410">AI459</f>
        <v>298</v>
      </c>
      <c r="CP459" s="72">
        <f t="shared" ref="CP459" si="4411">AM459</f>
        <v>338</v>
      </c>
      <c r="CQ459" s="72">
        <f t="shared" ref="CQ459" si="4412">AQ459</f>
        <v>367</v>
      </c>
      <c r="CR459" s="72">
        <f t="shared" ref="CR459" si="4413">AU459</f>
        <v>405</v>
      </c>
      <c r="CS459" s="72">
        <f t="shared" ref="CS459" si="4414">AY459</f>
        <v>422</v>
      </c>
      <c r="CT459" s="23">
        <f t="shared" ref="CT459" si="4415">M459-K459</f>
        <v>1</v>
      </c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</row>
    <row r="460" spans="1:1029" x14ac:dyDescent="0.2">
      <c r="A460" s="3" t="str">
        <f t="shared" ref="A460" si="4416">CONCATENATE(B460,"_",C460)</f>
        <v>glp1r_human_6KK7</v>
      </c>
      <c r="B460" s="3" t="s">
        <v>405</v>
      </c>
      <c r="C460" s="3" t="s">
        <v>1602</v>
      </c>
      <c r="D460" s="3" t="str">
        <f>IFERROR(MID(VLOOKUP($B460,Seqs!$A:$B,2,0),E460,1),"")</f>
        <v>S</v>
      </c>
      <c r="E460" s="3">
        <v>136</v>
      </c>
      <c r="F460" s="3" t="str">
        <f>IFERROR(MID(VLOOKUP($B460,Seqs!$A:$B,2,0),G460,1),"")</f>
        <v>F</v>
      </c>
      <c r="G460" s="3">
        <v>169</v>
      </c>
      <c r="H460" s="3" t="str">
        <f>IFERROR(MID(VLOOKUP($B460,Seqs!$A:$B,2,0),I460,1),"")</f>
        <v>R</v>
      </c>
      <c r="I460" s="23">
        <v>170</v>
      </c>
      <c r="J460" s="3" t="str">
        <f>IFERROR(MID(VLOOKUP($B460,Seqs!$A:$B,2,0),K460,1),"")</f>
        <v>H</v>
      </c>
      <c r="K460" s="23">
        <v>173</v>
      </c>
      <c r="L460" s="3" t="str">
        <f>IFERROR(MID(VLOOKUP($B460,Seqs!$A:$B,2,0),M460,1),"")</f>
        <v>C</v>
      </c>
      <c r="M460" s="23">
        <v>174</v>
      </c>
      <c r="N460" s="3" t="str">
        <f>IFERROR(MID(VLOOKUP($B460,Seqs!$A:$B,2,0),O460,1),"")</f>
        <v>K</v>
      </c>
      <c r="O460" s="3">
        <v>202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L</v>
      </c>
      <c r="U460" s="3">
        <v>224</v>
      </c>
      <c r="V460" s="3" t="str">
        <f>IFERROR(MID(VLOOKUP($B460,Seqs!$A:$B,2,0),W460,1),"")</f>
        <v>F</v>
      </c>
      <c r="W460" s="3">
        <v>257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E</v>
      </c>
      <c r="AC460" s="3">
        <v>262</v>
      </c>
      <c r="AD460" s="3" t="str">
        <f>IFERROR(MID(VLOOKUP($B460,Seqs!$A:$B,2,0),AE460,1),"")</f>
        <v>E</v>
      </c>
      <c r="AE460" s="3">
        <v>292</v>
      </c>
      <c r="AF460" s="3" t="str">
        <f>IFERROR(MID(VLOOKUP($B460,Seqs!$A:$B,2,0),AG460,1),"")</f>
        <v>C</v>
      </c>
      <c r="AG460" s="3">
        <v>296</v>
      </c>
      <c r="AH460" s="3" t="str">
        <f>IFERROR(MID(VLOOKUP($B460,Seqs!$A:$B,2,0),AI460,1),"")</f>
        <v>T</v>
      </c>
      <c r="AI460" s="3">
        <v>298</v>
      </c>
      <c r="AJ460" s="3" t="str">
        <f>IFERROR(MID(VLOOKUP($B460,Seqs!$A:$B,2,0),AK460,1),"")</f>
        <v>M</v>
      </c>
      <c r="AK460" s="3">
        <v>303</v>
      </c>
      <c r="AL460" s="3" t="str">
        <f>IFERROR(MID(VLOOKUP($B460,Seqs!$A:$B,2,0),AM460,1),"")</f>
        <v>N</v>
      </c>
      <c r="AM460" s="3">
        <v>338</v>
      </c>
      <c r="AN460" s="3" t="str">
        <f>IFERROR(MID(VLOOKUP($B460,Seqs!$A:$B,2,0),AO460,1),"")</f>
        <v>D</v>
      </c>
      <c r="AO460" s="3">
        <v>344</v>
      </c>
      <c r="AP460" s="3" t="str">
        <f>IFERROR(MID(VLOOKUP($B460,Seqs!$A:$B,2,0),AQ460,1),"")</f>
        <v>F</v>
      </c>
      <c r="AQ460" s="3">
        <v>367</v>
      </c>
      <c r="AR460" s="3" t="str">
        <f>IFERROR(MID(VLOOKUP($B460,Seqs!$A:$B,2,0),AS460,1),"")</f>
        <v>R</v>
      </c>
      <c r="AS460" s="3">
        <v>380</v>
      </c>
      <c r="AT460" s="3" t="str">
        <f>IFERROR(MID(VLOOKUP($B460,Seqs!$A:$B,2,0),AU460,1),"")</f>
        <v>V</v>
      </c>
      <c r="AU460" s="3">
        <v>405</v>
      </c>
      <c r="AV460" s="3" t="str">
        <f>IFERROR(MID(VLOOKUP($B460,Seqs!$A:$B,2,0),AW460,1),"")</f>
        <v>N</v>
      </c>
      <c r="AW460" s="3">
        <v>406</v>
      </c>
      <c r="AX460" s="3" t="str">
        <f>IFERROR(MID(VLOOKUP($B460,Seqs!$A:$B,2,0),AY460,1),"")</f>
        <v>L</v>
      </c>
      <c r="AY460" s="3">
        <v>422</v>
      </c>
      <c r="AZ460" s="77" t="str">
        <f>VLOOKUP(B460,Classification!A:D,2,0)</f>
        <v>B1</v>
      </c>
      <c r="BA460" s="94" t="str">
        <f>VLOOKUP(B460,Classification!A:D,4,0)</f>
        <v>Glucagonreceptorfamily</v>
      </c>
      <c r="BB460" s="27" t="b">
        <f t="shared" ref="BB460" si="4417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23">
        <f t="shared" ref="BC460" si="4418">_xlfn.AGGREGATE(9,6,CH460:CS460)-_xlfn.AGGREGATE(9,6,BV460:CG460)+12</f>
        <v>240</v>
      </c>
      <c r="BD460" s="4" t="s">
        <v>23</v>
      </c>
      <c r="BE460" s="3" t="s">
        <v>1370</v>
      </c>
      <c r="BF460" s="118">
        <v>2.8</v>
      </c>
      <c r="BG460" s="49" t="s">
        <v>1277</v>
      </c>
      <c r="BH460" s="49" t="s">
        <v>1277</v>
      </c>
      <c r="BI460" s="1"/>
      <c r="BJ460" s="70" t="s">
        <v>1283</v>
      </c>
      <c r="BK460" s="57" t="s">
        <v>1283</v>
      </c>
      <c r="BL460" s="57" t="s">
        <v>1283</v>
      </c>
      <c r="BM460" s="57" t="s">
        <v>1283</v>
      </c>
      <c r="BN460" s="57" t="s">
        <v>1283</v>
      </c>
      <c r="BO460" s="57" t="s">
        <v>1283</v>
      </c>
      <c r="BP460" s="57" t="s">
        <v>1283</v>
      </c>
      <c r="BQ460" s="57" t="s">
        <v>1283</v>
      </c>
      <c r="BR460" s="57" t="s">
        <v>1283</v>
      </c>
      <c r="BS460" s="57" t="s">
        <v>1283</v>
      </c>
      <c r="BT460" s="57" t="s">
        <v>1283</v>
      </c>
      <c r="BU460" s="57" t="s">
        <v>1283</v>
      </c>
      <c r="BV460" s="70">
        <f t="shared" ref="BV460" si="4419">E460</f>
        <v>136</v>
      </c>
      <c r="BW460" s="71">
        <f t="shared" ref="BW460" si="4420">I460</f>
        <v>170</v>
      </c>
      <c r="BX460" s="72">
        <f t="shared" ref="BX460" si="4421">M460</f>
        <v>174</v>
      </c>
      <c r="BY460" s="71" t="str">
        <f t="shared" ref="BY460" si="4422">Q460</f>
        <v>-</v>
      </c>
      <c r="BZ460" s="72">
        <f t="shared" ref="BZ460" si="4423">U460</f>
        <v>224</v>
      </c>
      <c r="CA460" s="71" t="str">
        <f t="shared" ref="CA460" si="4424">Y460</f>
        <v>-</v>
      </c>
      <c r="CB460" s="72">
        <f t="shared" ref="CB460" si="4425">AC460</f>
        <v>262</v>
      </c>
      <c r="CC460" s="71">
        <f t="shared" ref="CC460" si="4426">AG460</f>
        <v>296</v>
      </c>
      <c r="CD460" s="72">
        <f t="shared" ref="CD460" si="4427">AK460</f>
        <v>303</v>
      </c>
      <c r="CE460" s="71">
        <f t="shared" ref="CE460" si="4428">AO460</f>
        <v>344</v>
      </c>
      <c r="CF460" s="72">
        <f t="shared" ref="CF460" si="4429">AS460</f>
        <v>380</v>
      </c>
      <c r="CG460" s="71">
        <f t="shared" ref="CG460" si="4430">AW460</f>
        <v>406</v>
      </c>
      <c r="CH460" s="70">
        <f t="shared" ref="CH460" si="4431">G460</f>
        <v>169</v>
      </c>
      <c r="CI460" s="71">
        <f t="shared" ref="CI460" si="4432">K460</f>
        <v>173</v>
      </c>
      <c r="CJ460" s="72">
        <f t="shared" ref="CJ460" si="4433">O460</f>
        <v>202</v>
      </c>
      <c r="CK460" s="72" t="str">
        <f t="shared" ref="CK460" si="4434">S460</f>
        <v>-</v>
      </c>
      <c r="CL460" s="72">
        <f t="shared" ref="CL460" si="4435">W460</f>
        <v>257</v>
      </c>
      <c r="CM460" s="72" t="str">
        <f t="shared" ref="CM460" si="4436">AA460</f>
        <v>-</v>
      </c>
      <c r="CN460" s="72">
        <f t="shared" ref="CN460" si="4437">AE460</f>
        <v>292</v>
      </c>
      <c r="CO460" s="72">
        <f t="shared" ref="CO460" si="4438">AI460</f>
        <v>298</v>
      </c>
      <c r="CP460" s="72">
        <f t="shared" ref="CP460" si="4439">AM460</f>
        <v>338</v>
      </c>
      <c r="CQ460" s="72">
        <f t="shared" ref="CQ460" si="4440">AQ460</f>
        <v>367</v>
      </c>
      <c r="CR460" s="72">
        <f t="shared" ref="CR460" si="4441">AU460</f>
        <v>405</v>
      </c>
      <c r="CS460" s="72">
        <f t="shared" ref="CS460" si="4442">AY460</f>
        <v>422</v>
      </c>
      <c r="CT460" s="23">
        <f t="shared" ref="CT460" si="4443">M460-K460</f>
        <v>1</v>
      </c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</row>
    <row r="461" spans="1:1029" x14ac:dyDescent="0.2">
      <c r="A461" s="3" t="str">
        <f t="shared" ref="A461" si="4444">CONCATENATE(B461,"_",C461)</f>
        <v>glp1r_human_6LN2</v>
      </c>
      <c r="B461" s="3" t="s">
        <v>405</v>
      </c>
      <c r="C461" s="3" t="s">
        <v>1664</v>
      </c>
      <c r="D461" s="3" t="str">
        <f>IFERROR(MID(VLOOKUP($B461,Seqs!$A:$B,2,0),E461,1),"")</f>
        <v>S</v>
      </c>
      <c r="E461" s="3">
        <v>135</v>
      </c>
      <c r="F461" s="3" t="str">
        <f>IFERROR(MID(VLOOKUP($B461,Seqs!$A:$B,2,0),G461,1),"")</f>
        <v>F</v>
      </c>
      <c r="G461" s="3">
        <v>169</v>
      </c>
      <c r="H461" s="3" t="str">
        <f>IFERROR(MID(VLOOKUP($B461,Seqs!$A:$B,2,0),I461,1),"")</f>
        <v>R</v>
      </c>
      <c r="I461" s="23">
        <v>170</v>
      </c>
      <c r="J461" s="3" t="str">
        <f>IFERROR(MID(VLOOKUP($B461,Seqs!$A:$B,2,0),K461,1),"")</f>
        <v>H</v>
      </c>
      <c r="K461" s="23">
        <v>173</v>
      </c>
      <c r="L461" s="3" t="str">
        <f>IFERROR(MID(VLOOKUP($B461,Seqs!$A:$B,2,0),M461,1),"")</f>
        <v>C</v>
      </c>
      <c r="M461" s="23">
        <v>174</v>
      </c>
      <c r="N461" s="3" t="str">
        <f>IFERROR(MID(VLOOKUP($B461,Seqs!$A:$B,2,0),O461,1),"")</f>
        <v>T</v>
      </c>
      <c r="O461" s="3">
        <v>207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L</v>
      </c>
      <c r="U461" s="3">
        <v>224</v>
      </c>
      <c r="V461" s="3" t="str">
        <f>IFERROR(MID(VLOOKUP($B461,Seqs!$A:$B,2,0),W461,1),"")</f>
        <v>F</v>
      </c>
      <c r="W461" s="3">
        <v>257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Q</v>
      </c>
      <c r="AC461" s="3">
        <v>263</v>
      </c>
      <c r="AD461" s="3" t="str">
        <f>IFERROR(MID(VLOOKUP($B461,Seqs!$A:$B,2,0),AE461,1),"")</f>
        <v>Y</v>
      </c>
      <c r="AE461" s="3">
        <v>291</v>
      </c>
      <c r="AF461" s="3" t="str">
        <f>IFERROR(MID(VLOOKUP($B461,Seqs!$A:$B,2,0),AG461,1),"")</f>
        <v>C</v>
      </c>
      <c r="AG461" s="3">
        <v>296</v>
      </c>
      <c r="AH461" s="3" t="str">
        <f>IFERROR(MID(VLOOKUP($B461,Seqs!$A:$B,2,0),AI461,1),"")</f>
        <v>T</v>
      </c>
      <c r="AI461" s="3">
        <v>298</v>
      </c>
      <c r="AJ461" s="3" t="str">
        <f>IFERROR(MID(VLOOKUP($B461,Seqs!$A:$B,2,0),AK461,1),"")</f>
        <v>W</v>
      </c>
      <c r="AK461" s="3">
        <v>306</v>
      </c>
      <c r="AL461" s="3" t="str">
        <f>IFERROR(MID(VLOOKUP($B461,Seqs!$A:$B,2,0),AM461,1),"")</f>
        <v>N</v>
      </c>
      <c r="AM461" s="3">
        <v>338</v>
      </c>
      <c r="AN461" s="3" t="str">
        <f>IFERROR(MID(VLOOKUP($B461,Seqs!$A:$B,2,0),AO461,1),"")</f>
        <v>D</v>
      </c>
      <c r="AO461" s="3">
        <v>344</v>
      </c>
      <c r="AP461" s="3" t="str">
        <f>IFERROR(MID(VLOOKUP($B461,Seqs!$A:$B,2,0),AQ461,1),"")</f>
        <v>F</v>
      </c>
      <c r="AQ461" s="3">
        <v>367</v>
      </c>
      <c r="AR461" s="3" t="str">
        <f>IFERROR(MID(VLOOKUP($B461,Seqs!$A:$B,2,0),AS461,1),"")</f>
        <v>R</v>
      </c>
      <c r="AS461" s="3">
        <v>376</v>
      </c>
      <c r="AT461" s="3" t="str">
        <f>IFERROR(MID(VLOOKUP($B461,Seqs!$A:$B,2,0),AU461,1),"")</f>
        <v>C</v>
      </c>
      <c r="AU461" s="3">
        <v>403</v>
      </c>
      <c r="AV461" s="3" t="str">
        <f>IFERROR(MID(VLOOKUP($B461,Seqs!$A:$B,2,0),AW461,1),"")</f>
        <v>N</v>
      </c>
      <c r="AW461" s="3">
        <v>406</v>
      </c>
      <c r="AX461" s="3" t="str">
        <f>IFERROR(MID(VLOOKUP($B461,Seqs!$A:$B,2,0),AY461,1),"")</f>
        <v>R</v>
      </c>
      <c r="AY461" s="3">
        <v>421</v>
      </c>
      <c r="AZ461" s="77" t="str">
        <f>VLOOKUP(B461,Classification!A:D,2,0)</f>
        <v>B1</v>
      </c>
      <c r="BA461" s="94" t="str">
        <f>VLOOKUP(B461,Classification!A:D,4,0)</f>
        <v>Glucagonreceptorfamily</v>
      </c>
      <c r="BB461" s="27" t="b">
        <f t="shared" ref="BB461" si="4445">AND(E461&lt;G461,OR(G461&lt;I461,I461="-"),OR(I461&lt;K461,I461="-"),OR(K461&lt;M461,K461="-"),M461&lt;O461,OR(O461&lt;Q461,Q461="-"),OR(Q461&lt;S461,Q461="-"),OR(S461&lt;U461,S461="-"),U461&lt;W461,OR(W461&lt;Y461,Y461="-"),OR(Y461&lt;AA461,Y461="-"),OR(AA461&lt;AC461,AA461="-"),AC461&lt;AE461,OR(AE461&lt;AG461,AG461="-"),OR(AG461&lt;AI461,AG461="-"),OR(AI461&lt;AK461,AI461="-"),AK461&lt;AM461,AM461&lt;AO461,AO461&lt;AQ461,AQ461&lt;AS461,AS461&lt;AU461,OR(AU461&lt;AW461,AW461="-"),OR(AW461&lt;AY461,AW461="-"))</f>
        <v>1</v>
      </c>
      <c r="BC461" s="23">
        <f t="shared" ref="BC461" si="4446">_xlfn.AGGREGATE(9,6,CH461:CS461)-_xlfn.AGGREGATE(9,6,BV461:CG461)+12</f>
        <v>242</v>
      </c>
      <c r="BD461" s="4" t="s">
        <v>23</v>
      </c>
      <c r="BE461" s="3" t="s">
        <v>1370</v>
      </c>
      <c r="BF461" s="118">
        <v>3.2</v>
      </c>
      <c r="BG461" s="49" t="s">
        <v>1</v>
      </c>
      <c r="BH461" s="49" t="s">
        <v>1</v>
      </c>
      <c r="BI461" s="1"/>
      <c r="BJ461" s="70" t="s">
        <v>1283</v>
      </c>
      <c r="BK461" s="57" t="s">
        <v>1283</v>
      </c>
      <c r="BL461" s="57" t="s">
        <v>1283</v>
      </c>
      <c r="BM461" s="57" t="s">
        <v>1283</v>
      </c>
      <c r="BN461" s="57" t="s">
        <v>1283</v>
      </c>
      <c r="BO461" s="57" t="s">
        <v>1283</v>
      </c>
      <c r="BP461" s="57" t="s">
        <v>1283</v>
      </c>
      <c r="BQ461" s="57" t="s">
        <v>1283</v>
      </c>
      <c r="BR461" s="57" t="s">
        <v>1283</v>
      </c>
      <c r="BS461" s="57" t="s">
        <v>1283</v>
      </c>
      <c r="BT461" s="57" t="s">
        <v>1283</v>
      </c>
      <c r="BU461" s="57" t="s">
        <v>1283</v>
      </c>
      <c r="BV461" s="70">
        <f t="shared" ref="BV461" si="4447">E461</f>
        <v>135</v>
      </c>
      <c r="BW461" s="71">
        <f t="shared" ref="BW461" si="4448">I461</f>
        <v>170</v>
      </c>
      <c r="BX461" s="72">
        <f t="shared" ref="BX461" si="4449">M461</f>
        <v>174</v>
      </c>
      <c r="BY461" s="71" t="str">
        <f t="shared" ref="BY461" si="4450">Q461</f>
        <v>-</v>
      </c>
      <c r="BZ461" s="72">
        <f t="shared" ref="BZ461" si="4451">U461</f>
        <v>224</v>
      </c>
      <c r="CA461" s="71" t="str">
        <f t="shared" ref="CA461" si="4452">Y461</f>
        <v>-</v>
      </c>
      <c r="CB461" s="72">
        <f t="shared" ref="CB461" si="4453">AC461</f>
        <v>263</v>
      </c>
      <c r="CC461" s="71">
        <f t="shared" ref="CC461" si="4454">AG461</f>
        <v>296</v>
      </c>
      <c r="CD461" s="72">
        <f t="shared" ref="CD461" si="4455">AK461</f>
        <v>306</v>
      </c>
      <c r="CE461" s="71">
        <f t="shared" ref="CE461" si="4456">AO461</f>
        <v>344</v>
      </c>
      <c r="CF461" s="72">
        <f t="shared" ref="CF461" si="4457">AS461</f>
        <v>376</v>
      </c>
      <c r="CG461" s="71">
        <f t="shared" ref="CG461" si="4458">AW461</f>
        <v>406</v>
      </c>
      <c r="CH461" s="70">
        <f t="shared" ref="CH461" si="4459">G461</f>
        <v>169</v>
      </c>
      <c r="CI461" s="71">
        <f t="shared" ref="CI461" si="4460">K461</f>
        <v>173</v>
      </c>
      <c r="CJ461" s="72">
        <f t="shared" ref="CJ461" si="4461">O461</f>
        <v>207</v>
      </c>
      <c r="CK461" s="72" t="str">
        <f t="shared" ref="CK461" si="4462">S461</f>
        <v>-</v>
      </c>
      <c r="CL461" s="72">
        <f t="shared" ref="CL461" si="4463">W461</f>
        <v>257</v>
      </c>
      <c r="CM461" s="72" t="str">
        <f t="shared" ref="CM461" si="4464">AA461</f>
        <v>-</v>
      </c>
      <c r="CN461" s="72">
        <f t="shared" ref="CN461" si="4465">AE461</f>
        <v>291</v>
      </c>
      <c r="CO461" s="72">
        <f t="shared" ref="CO461" si="4466">AI461</f>
        <v>298</v>
      </c>
      <c r="CP461" s="72">
        <f t="shared" ref="CP461" si="4467">AM461</f>
        <v>338</v>
      </c>
      <c r="CQ461" s="72">
        <f t="shared" ref="CQ461" si="4468">AQ461</f>
        <v>367</v>
      </c>
      <c r="CR461" s="72">
        <f t="shared" ref="CR461" si="4469">AU461</f>
        <v>403</v>
      </c>
      <c r="CS461" s="72">
        <f t="shared" ref="CS461" si="4470">AY461</f>
        <v>421</v>
      </c>
      <c r="CT461" s="23">
        <f t="shared" ref="CT461" si="4471">M461-K461</f>
        <v>1</v>
      </c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</row>
    <row r="462" spans="1:1029" s="12" customFormat="1" x14ac:dyDescent="0.2">
      <c r="A462" s="9" t="str">
        <f t="shared" ref="A462" si="4472">CONCATENATE(B462,"_",C462)</f>
        <v>glp1r_human_6VCB</v>
      </c>
      <c r="B462" s="9" t="s">
        <v>405</v>
      </c>
      <c r="C462" s="9" t="s">
        <v>1700</v>
      </c>
      <c r="D462" s="9" t="str">
        <f>IFERROR(MID(VLOOKUP($B462,Seqs!$A:$B,2,0),E462,1),"")</f>
        <v>P</v>
      </c>
      <c r="E462" s="9">
        <v>137</v>
      </c>
      <c r="F462" s="9" t="str">
        <f>IFERROR(MID(VLOOKUP($B462,Seqs!$A:$B,2,0),G462,1),"")</f>
        <v>G</v>
      </c>
      <c r="G462" s="9">
        <v>168</v>
      </c>
      <c r="H462" s="9" t="str">
        <f>IFERROR(MID(VLOOKUP($B462,Seqs!$A:$B,2,0),I462,1),"")</f>
        <v/>
      </c>
      <c r="I462" s="109" t="s">
        <v>23</v>
      </c>
      <c r="J462" s="9" t="str">
        <f>IFERROR(MID(VLOOKUP($B462,Seqs!$A:$B,2,0),K462,1),"")</f>
        <v/>
      </c>
      <c r="K462" s="109" t="s">
        <v>23</v>
      </c>
      <c r="L462" s="9" t="str">
        <f>IFERROR(MID(VLOOKUP($B462,Seqs!$A:$B,2,0),M462,1),"")</f>
        <v>C</v>
      </c>
      <c r="M462" s="109">
        <v>174</v>
      </c>
      <c r="N462" s="9" t="str">
        <f>IFERROR(MID(VLOOKUP($B462,Seqs!$A:$B,2,0),O462,1),"")</f>
        <v>T</v>
      </c>
      <c r="O462" s="9">
        <v>207</v>
      </c>
      <c r="P462" s="9" t="str">
        <f>IFERROR(MID(VLOOKUP($B462,Seqs!$A:$B,2,0),Q462,1),"")</f>
        <v/>
      </c>
      <c r="Q462" s="9" t="s">
        <v>23</v>
      </c>
      <c r="R462" s="9" t="str">
        <f>IFERROR(MID(VLOOKUP($B462,Seqs!$A:$B,2,0),S462,1),"")</f>
        <v/>
      </c>
      <c r="S462" s="9" t="s">
        <v>23</v>
      </c>
      <c r="T462" s="9" t="str">
        <f>IFERROR(MID(VLOOKUP($B462,Seqs!$A:$B,2,0),U462,1),"")</f>
        <v>L</v>
      </c>
      <c r="U462" s="9">
        <v>224</v>
      </c>
      <c r="V462" s="9" t="str">
        <f>IFERROR(MID(VLOOKUP($B462,Seqs!$A:$B,2,0),W462,1),"")</f>
        <v>A</v>
      </c>
      <c r="W462" s="9">
        <v>256</v>
      </c>
      <c r="X462" s="9" t="str">
        <f>IFERROR(MID(VLOOKUP($B462,Seqs!$A:$B,2,0),Y462,1),"")</f>
        <v/>
      </c>
      <c r="Y462" s="9" t="s">
        <v>23</v>
      </c>
      <c r="Z462" s="9" t="str">
        <f>IFERROR(MID(VLOOKUP($B462,Seqs!$A:$B,2,0),AA462,1),"")</f>
        <v/>
      </c>
      <c r="AA462" s="9" t="s">
        <v>23</v>
      </c>
      <c r="AB462" s="9" t="str">
        <f>IFERROR(MID(VLOOKUP($B462,Seqs!$A:$B,2,0),AC462,1),"")</f>
        <v>S</v>
      </c>
      <c r="AC462" s="9">
        <v>261</v>
      </c>
      <c r="AD462" s="9" t="str">
        <f>IFERROR(MID(VLOOKUP($B462,Seqs!$A:$B,2,0),AE462,1),"")</f>
        <v>E</v>
      </c>
      <c r="AE462" s="9">
        <v>292</v>
      </c>
      <c r="AF462" s="9" t="str">
        <f>IFERROR(MID(VLOOKUP($B462,Seqs!$A:$B,2,0),AG462,1),"")</f>
        <v>C</v>
      </c>
      <c r="AG462" s="9">
        <v>296</v>
      </c>
      <c r="AH462" s="9" t="str">
        <f>IFERROR(MID(VLOOKUP($B462,Seqs!$A:$B,2,0),AI462,1),"")</f>
        <v>T</v>
      </c>
      <c r="AI462" s="9">
        <v>298</v>
      </c>
      <c r="AJ462" s="9" t="str">
        <f>IFERROR(MID(VLOOKUP($B462,Seqs!$A:$B,2,0),AK462,1),"")</f>
        <v>M</v>
      </c>
      <c r="AK462" s="9">
        <v>303</v>
      </c>
      <c r="AL462" s="9" t="str">
        <f>IFERROR(MID(VLOOKUP($B462,Seqs!$A:$B,2,0),AM462,1),"")</f>
        <v>A</v>
      </c>
      <c r="AM462" s="9">
        <v>337</v>
      </c>
      <c r="AN462" s="9" t="str">
        <f>IFERROR(MID(VLOOKUP($B462,Seqs!$A:$B,2,0),AO462,1),"")</f>
        <v>I</v>
      </c>
      <c r="AO462" s="9">
        <v>345</v>
      </c>
      <c r="AP462" s="9" t="str">
        <f>IFERROR(MID(VLOOKUP($B462,Seqs!$A:$B,2,0),AQ462,1),"")</f>
        <v>F</v>
      </c>
      <c r="AQ462" s="9">
        <v>367</v>
      </c>
      <c r="AR462" s="9" t="str">
        <f>IFERROR(MID(VLOOKUP($B462,Seqs!$A:$B,2,0),AS462,1),"")</f>
        <v>G</v>
      </c>
      <c r="AS462" s="9">
        <v>377</v>
      </c>
      <c r="AT462" s="9" t="str">
        <f>IFERROR(MID(VLOOKUP($B462,Seqs!$A:$B,2,0),AU462,1),"")</f>
        <v>V</v>
      </c>
      <c r="AU462" s="9">
        <v>405</v>
      </c>
      <c r="AV462" s="9" t="str">
        <f>IFERROR(MID(VLOOKUP($B462,Seqs!$A:$B,2,0),AW462,1),"")</f>
        <v>N</v>
      </c>
      <c r="AW462" s="9">
        <v>406</v>
      </c>
      <c r="AX462" s="9" t="str">
        <f>IFERROR(MID(VLOOKUP($B462,Seqs!$A:$B,2,0),AY462,1),"")</f>
        <v>R</v>
      </c>
      <c r="AY462" s="9">
        <v>421</v>
      </c>
      <c r="AZ462" s="110" t="str">
        <f>VLOOKUP(B462,Classification!A:D,2,0)</f>
        <v>B1</v>
      </c>
      <c r="BA462" s="98" t="str">
        <f>VLOOKUP(B462,Classification!A:D,4,0)</f>
        <v>Glucagonreceptorfamily</v>
      </c>
      <c r="BB462" s="36" t="b">
        <f t="shared" ref="BB462" si="4473">AND(E462&lt;G462,OR(G462&lt;I462,I462="-"),OR(I462&lt;K462,I462="-"),OR(K462&lt;M462,K462="-"),M462&lt;O462,OR(O462&lt;Q462,Q462="-"),OR(Q462&lt;S462,Q462="-"),OR(S462&lt;U462,S462="-"),U462&lt;W462,OR(W462&lt;Y462,Y462="-"),OR(Y462&lt;AA462,Y462="-"),OR(AA462&lt;AC462,AA462="-"),AC462&lt;AE462,OR(AE462&lt;AG462,AG462="-"),OR(AG462&lt;AI462,AG462="-"),OR(AI462&lt;AK462,AI462="-"),AK462&lt;AM462,AM462&lt;AO462,AO462&lt;AQ462,AQ462&lt;AS462,AS462&lt;AU462,OR(AU462&lt;AW462,AW462="-"),OR(AW462&lt;AY462,AW462="-"))</f>
        <v>1</v>
      </c>
      <c r="BC462" s="109">
        <f t="shared" ref="BC462" si="4474">_xlfn.AGGREGATE(9,6,CH462:CS462)-_xlfn.AGGREGATE(9,6,BV462:CG462)+12</f>
        <v>240</v>
      </c>
      <c r="BD462" s="11" t="s">
        <v>23</v>
      </c>
      <c r="BE462" s="9" t="s">
        <v>1287</v>
      </c>
      <c r="BF462" s="119">
        <v>3.3</v>
      </c>
      <c r="BG462" s="51" t="s">
        <v>1418</v>
      </c>
      <c r="BH462" s="51" t="s">
        <v>1418</v>
      </c>
      <c r="BJ462" s="111" t="s">
        <v>1283</v>
      </c>
      <c r="BK462" s="112" t="s">
        <v>1283</v>
      </c>
      <c r="BL462" s="112" t="s">
        <v>1283</v>
      </c>
      <c r="BM462" s="112" t="s">
        <v>1283</v>
      </c>
      <c r="BN462" s="112" t="s">
        <v>1283</v>
      </c>
      <c r="BO462" s="112" t="s">
        <v>1283</v>
      </c>
      <c r="BP462" s="112" t="s">
        <v>1283</v>
      </c>
      <c r="BQ462" s="112" t="s">
        <v>1283</v>
      </c>
      <c r="BR462" s="112" t="s">
        <v>1283</v>
      </c>
      <c r="BS462" s="112" t="s">
        <v>1283</v>
      </c>
      <c r="BT462" s="112" t="s">
        <v>1283</v>
      </c>
      <c r="BU462" s="112" t="s">
        <v>1283</v>
      </c>
      <c r="BV462" s="111">
        <f t="shared" ref="BV462" si="4475">E462</f>
        <v>137</v>
      </c>
      <c r="BW462" s="113" t="str">
        <f t="shared" ref="BW462" si="4476">I462</f>
        <v>-</v>
      </c>
      <c r="BX462" s="114">
        <f t="shared" ref="BX462" si="4477">M462</f>
        <v>174</v>
      </c>
      <c r="BY462" s="113" t="str">
        <f t="shared" ref="BY462" si="4478">Q462</f>
        <v>-</v>
      </c>
      <c r="BZ462" s="114">
        <f t="shared" ref="BZ462" si="4479">U462</f>
        <v>224</v>
      </c>
      <c r="CA462" s="113" t="str">
        <f t="shared" ref="CA462" si="4480">Y462</f>
        <v>-</v>
      </c>
      <c r="CB462" s="114">
        <f t="shared" ref="CB462" si="4481">AC462</f>
        <v>261</v>
      </c>
      <c r="CC462" s="113">
        <f t="shared" ref="CC462" si="4482">AG462</f>
        <v>296</v>
      </c>
      <c r="CD462" s="114">
        <f t="shared" ref="CD462" si="4483">AK462</f>
        <v>303</v>
      </c>
      <c r="CE462" s="113">
        <f t="shared" ref="CE462" si="4484">AO462</f>
        <v>345</v>
      </c>
      <c r="CF462" s="114">
        <f t="shared" ref="CF462" si="4485">AS462</f>
        <v>377</v>
      </c>
      <c r="CG462" s="113">
        <f t="shared" ref="CG462" si="4486">AW462</f>
        <v>406</v>
      </c>
      <c r="CH462" s="111">
        <f t="shared" ref="CH462" si="4487">G462</f>
        <v>168</v>
      </c>
      <c r="CI462" s="113" t="str">
        <f t="shared" ref="CI462" si="4488">K462</f>
        <v>-</v>
      </c>
      <c r="CJ462" s="114">
        <f t="shared" ref="CJ462" si="4489">O462</f>
        <v>207</v>
      </c>
      <c r="CK462" s="114" t="str">
        <f t="shared" ref="CK462" si="4490">S462</f>
        <v>-</v>
      </c>
      <c r="CL462" s="114">
        <f t="shared" ref="CL462" si="4491">W462</f>
        <v>256</v>
      </c>
      <c r="CM462" s="114" t="str">
        <f t="shared" ref="CM462" si="4492">AA462</f>
        <v>-</v>
      </c>
      <c r="CN462" s="114">
        <f t="shared" ref="CN462" si="4493">AE462</f>
        <v>292</v>
      </c>
      <c r="CO462" s="114">
        <f t="shared" ref="CO462" si="4494">AI462</f>
        <v>298</v>
      </c>
      <c r="CP462" s="114">
        <f t="shared" ref="CP462" si="4495">AM462</f>
        <v>337</v>
      </c>
      <c r="CQ462" s="114">
        <f t="shared" ref="CQ462" si="4496">AQ462</f>
        <v>367</v>
      </c>
      <c r="CR462" s="114">
        <f t="shared" ref="CR462" si="4497">AU462</f>
        <v>405</v>
      </c>
      <c r="CS462" s="114">
        <f t="shared" ref="CS462" si="4498">AY462</f>
        <v>421</v>
      </c>
      <c r="CT462" s="109" t="e">
        <f t="shared" ref="CT462" si="4499">M462-K462</f>
        <v>#VALUE!</v>
      </c>
    </row>
    <row r="463" spans="1:1029" s="12" customFormat="1" x14ac:dyDescent="0.2">
      <c r="A463" s="9" t="str">
        <f t="shared" ref="A463" si="4500">CONCATENATE(B463,"_",C463)</f>
        <v>glp1r_human_7C2E</v>
      </c>
      <c r="B463" s="9" t="s">
        <v>405</v>
      </c>
      <c r="C463" s="9" t="s">
        <v>1718</v>
      </c>
      <c r="D463" s="9" t="str">
        <f>IFERROR(MID(VLOOKUP($B463,Seqs!$A:$B,2,0),E463,1),"")</f>
        <v>P</v>
      </c>
      <c r="E463" s="9">
        <v>137</v>
      </c>
      <c r="F463" s="9" t="str">
        <f>IFERROR(MID(VLOOKUP($B463,Seqs!$A:$B,2,0),G463,1),"")</f>
        <v>F</v>
      </c>
      <c r="G463" s="9">
        <v>169</v>
      </c>
      <c r="H463" s="9" t="str">
        <f>IFERROR(MID(VLOOKUP($B463,Seqs!$A:$B,2,0),I463,1),"")</f>
        <v/>
      </c>
      <c r="I463" s="109" t="s">
        <v>23</v>
      </c>
      <c r="J463" s="9" t="str">
        <f>IFERROR(MID(VLOOKUP($B463,Seqs!$A:$B,2,0),K463,1),"")</f>
        <v/>
      </c>
      <c r="K463" s="109" t="s">
        <v>23</v>
      </c>
      <c r="L463" s="9" t="str">
        <f>IFERROR(MID(VLOOKUP($B463,Seqs!$A:$B,2,0),M463,1),"")</f>
        <v>C</v>
      </c>
      <c r="M463" s="109">
        <v>174</v>
      </c>
      <c r="N463" s="9" t="str">
        <f>IFERROR(MID(VLOOKUP($B463,Seqs!$A:$B,2,0),O463,1),"")</f>
        <v>D</v>
      </c>
      <c r="O463" s="9">
        <v>198</v>
      </c>
      <c r="P463" s="9" t="str">
        <f>IFERROR(MID(VLOOKUP($B463,Seqs!$A:$B,2,0),Q463,1),"")</f>
        <v/>
      </c>
      <c r="Q463" s="9" t="s">
        <v>23</v>
      </c>
      <c r="R463" s="9" t="str">
        <f>IFERROR(MID(VLOOKUP($B463,Seqs!$A:$B,2,0),S463,1),"")</f>
        <v/>
      </c>
      <c r="S463" s="9" t="s">
        <v>23</v>
      </c>
      <c r="T463" s="9" t="str">
        <f>IFERROR(MID(VLOOKUP($B463,Seqs!$A:$B,2,0),U463,1),"")</f>
        <v>S</v>
      </c>
      <c r="U463" s="9">
        <v>223</v>
      </c>
      <c r="V463" s="9" t="str">
        <f>IFERROR(MID(VLOOKUP($B463,Seqs!$A:$B,2,0),W463,1),"")</f>
        <v>F</v>
      </c>
      <c r="W463" s="9">
        <v>257</v>
      </c>
      <c r="X463" s="9" t="str">
        <f>IFERROR(MID(VLOOKUP($B463,Seqs!$A:$B,2,0),Y463,1),"")</f>
        <v/>
      </c>
      <c r="Y463" s="9" t="s">
        <v>23</v>
      </c>
      <c r="Z463" s="9" t="str">
        <f>IFERROR(MID(VLOOKUP($B463,Seqs!$A:$B,2,0),AA463,1),"")</f>
        <v/>
      </c>
      <c r="AA463" s="9" t="s">
        <v>23</v>
      </c>
      <c r="AB463" s="9" t="str">
        <f>IFERROR(MID(VLOOKUP($B463,Seqs!$A:$B,2,0),AC463,1),"")</f>
        <v>S</v>
      </c>
      <c r="AC463" s="9">
        <v>261</v>
      </c>
      <c r="AD463" s="9" t="str">
        <f>IFERROR(MID(VLOOKUP($B463,Seqs!$A:$B,2,0),AE463,1),"")</f>
        <v>E</v>
      </c>
      <c r="AE463" s="9">
        <v>292</v>
      </c>
      <c r="AF463" s="9" t="str">
        <f>IFERROR(MID(VLOOKUP($B463,Seqs!$A:$B,2,0),AG463,1),"")</f>
        <v>C</v>
      </c>
      <c r="AG463" s="9">
        <v>296</v>
      </c>
      <c r="AH463" s="9" t="str">
        <f>IFERROR(MID(VLOOKUP($B463,Seqs!$A:$B,2,0),AI463,1),"")</f>
        <v>T</v>
      </c>
      <c r="AI463" s="9">
        <v>298</v>
      </c>
      <c r="AJ463" s="9" t="str">
        <f>IFERROR(MID(VLOOKUP($B463,Seqs!$A:$B,2,0),AK463,1),"")</f>
        <v>M</v>
      </c>
      <c r="AK463" s="9">
        <v>303</v>
      </c>
      <c r="AL463" s="9" t="str">
        <f>IFERROR(MID(VLOOKUP($B463,Seqs!$A:$B,2,0),AM463,1),"")</f>
        <v>A</v>
      </c>
      <c r="AM463" s="9">
        <v>337</v>
      </c>
      <c r="AN463" s="9" t="str">
        <f>IFERROR(MID(VLOOKUP($B463,Seqs!$A:$B,2,0),AO463,1),"")</f>
        <v>D</v>
      </c>
      <c r="AO463" s="9">
        <v>344</v>
      </c>
      <c r="AP463" s="9" t="str">
        <f>IFERROR(MID(VLOOKUP($B463,Seqs!$A:$B,2,0),AQ463,1),"")</f>
        <v>M</v>
      </c>
      <c r="AQ463" s="9">
        <v>371</v>
      </c>
      <c r="AR463" s="9" t="str">
        <f>IFERROR(MID(VLOOKUP($B463,Seqs!$A:$B,2,0),AS463,1),"")</f>
        <v>R</v>
      </c>
      <c r="AS463" s="9">
        <v>380</v>
      </c>
      <c r="AT463" s="9" t="str">
        <f>IFERROR(MID(VLOOKUP($B463,Seqs!$A:$B,2,0),AU463,1),"")</f>
        <v>V</v>
      </c>
      <c r="AU463" s="9">
        <v>405</v>
      </c>
      <c r="AV463" s="9" t="str">
        <f>IFERROR(MID(VLOOKUP($B463,Seqs!$A:$B,2,0),AW463,1),"")</f>
        <v>N</v>
      </c>
      <c r="AW463" s="9">
        <v>406</v>
      </c>
      <c r="AX463" s="9" t="str">
        <f>IFERROR(MID(VLOOKUP($B463,Seqs!$A:$B,2,0),AY463,1),"")</f>
        <v>E</v>
      </c>
      <c r="AY463" s="9">
        <v>423</v>
      </c>
      <c r="AZ463" s="110" t="str">
        <f>VLOOKUP(B463,Classification!A:D,2,0)</f>
        <v>B1</v>
      </c>
      <c r="BA463" s="98" t="str">
        <f>VLOOKUP(B463,Classification!A:D,4,0)</f>
        <v>Glucagonreceptorfamily</v>
      </c>
      <c r="BB463" s="36" t="b">
        <f t="shared" ref="BB463" si="4501">AND(E463&lt;G463,OR(G463&lt;I463,I463="-"),OR(I463&lt;K463,I463="-"),OR(K463&lt;M463,K463="-"),M463&lt;O463,OR(O463&lt;Q463,Q463="-"),OR(Q463&lt;S463,Q463="-"),OR(S463&lt;U463,S463="-"),U463&lt;W463,OR(W463&lt;Y463,Y463="-"),OR(Y463&lt;AA463,Y463="-"),OR(AA463&lt;AC463,AA463="-"),AC463&lt;AE463,OR(AE463&lt;AG463,AG463="-"),OR(AG463&lt;AI463,AG463="-"),OR(AI463&lt;AK463,AI463="-"),AK463&lt;AM463,AM463&lt;AO463,AO463&lt;AQ463,AQ463&lt;AS463,AS463&lt;AU463,OR(AU463&lt;AW463,AW463="-"),OR(AW463&lt;AY463,AW463="-"))</f>
        <v>1</v>
      </c>
      <c r="BC463" s="109">
        <f t="shared" ref="BC463" si="4502">_xlfn.AGGREGATE(9,6,CH463:CS463)-_xlfn.AGGREGATE(9,6,BV463:CG463)+12</f>
        <v>238</v>
      </c>
      <c r="BD463" s="11" t="s">
        <v>23</v>
      </c>
      <c r="BE463" s="9" t="s">
        <v>1287</v>
      </c>
      <c r="BF463" s="119">
        <v>4.2</v>
      </c>
      <c r="BG463" s="51" t="s">
        <v>1418</v>
      </c>
      <c r="BH463" s="51" t="s">
        <v>1418</v>
      </c>
      <c r="BJ463" s="111" t="s">
        <v>1283</v>
      </c>
      <c r="BK463" s="112" t="s">
        <v>1283</v>
      </c>
      <c r="BL463" s="112" t="s">
        <v>1283</v>
      </c>
      <c r="BM463" s="112" t="s">
        <v>1283</v>
      </c>
      <c r="BN463" s="112" t="s">
        <v>1283</v>
      </c>
      <c r="BO463" s="112" t="s">
        <v>1283</v>
      </c>
      <c r="BP463" s="112" t="s">
        <v>1283</v>
      </c>
      <c r="BQ463" s="112" t="s">
        <v>1283</v>
      </c>
      <c r="BR463" s="112" t="s">
        <v>1283</v>
      </c>
      <c r="BS463" s="112" t="s">
        <v>1283</v>
      </c>
      <c r="BT463" s="112" t="s">
        <v>1283</v>
      </c>
      <c r="BU463" s="112" t="s">
        <v>1283</v>
      </c>
      <c r="BV463" s="111">
        <f t="shared" ref="BV463" si="4503">E463</f>
        <v>137</v>
      </c>
      <c r="BW463" s="113" t="str">
        <f t="shared" ref="BW463" si="4504">I463</f>
        <v>-</v>
      </c>
      <c r="BX463" s="114">
        <f t="shared" ref="BX463" si="4505">M463</f>
        <v>174</v>
      </c>
      <c r="BY463" s="113" t="str">
        <f t="shared" ref="BY463" si="4506">Q463</f>
        <v>-</v>
      </c>
      <c r="BZ463" s="114">
        <f t="shared" ref="BZ463" si="4507">U463</f>
        <v>223</v>
      </c>
      <c r="CA463" s="113" t="str">
        <f t="shared" ref="CA463" si="4508">Y463</f>
        <v>-</v>
      </c>
      <c r="CB463" s="114">
        <f t="shared" ref="CB463" si="4509">AC463</f>
        <v>261</v>
      </c>
      <c r="CC463" s="113">
        <f t="shared" ref="CC463" si="4510">AG463</f>
        <v>296</v>
      </c>
      <c r="CD463" s="114">
        <f t="shared" ref="CD463" si="4511">AK463</f>
        <v>303</v>
      </c>
      <c r="CE463" s="113">
        <f t="shared" ref="CE463" si="4512">AO463</f>
        <v>344</v>
      </c>
      <c r="CF463" s="114">
        <f t="shared" ref="CF463" si="4513">AS463</f>
        <v>380</v>
      </c>
      <c r="CG463" s="113">
        <f t="shared" ref="CG463" si="4514">AW463</f>
        <v>406</v>
      </c>
      <c r="CH463" s="111">
        <f t="shared" ref="CH463" si="4515">G463</f>
        <v>169</v>
      </c>
      <c r="CI463" s="113" t="str">
        <f t="shared" ref="CI463" si="4516">K463</f>
        <v>-</v>
      </c>
      <c r="CJ463" s="114">
        <f t="shared" ref="CJ463" si="4517">O463</f>
        <v>198</v>
      </c>
      <c r="CK463" s="114" t="str">
        <f t="shared" ref="CK463" si="4518">S463</f>
        <v>-</v>
      </c>
      <c r="CL463" s="114">
        <f t="shared" ref="CL463" si="4519">W463</f>
        <v>257</v>
      </c>
      <c r="CM463" s="114" t="str">
        <f t="shared" ref="CM463" si="4520">AA463</f>
        <v>-</v>
      </c>
      <c r="CN463" s="114">
        <f t="shared" ref="CN463" si="4521">AE463</f>
        <v>292</v>
      </c>
      <c r="CO463" s="114">
        <f t="shared" ref="CO463" si="4522">AI463</f>
        <v>298</v>
      </c>
      <c r="CP463" s="114">
        <f t="shared" ref="CP463" si="4523">AM463</f>
        <v>337</v>
      </c>
      <c r="CQ463" s="114">
        <f t="shared" ref="CQ463" si="4524">AQ463</f>
        <v>371</v>
      </c>
      <c r="CR463" s="114">
        <f t="shared" ref="CR463" si="4525">AU463</f>
        <v>405</v>
      </c>
      <c r="CS463" s="114">
        <f t="shared" ref="CS463" si="4526">AY463</f>
        <v>423</v>
      </c>
      <c r="CT463" s="109" t="e">
        <f t="shared" ref="CT463" si="4527">M463-K463</f>
        <v>#VALUE!</v>
      </c>
    </row>
    <row r="464" spans="1:1029" x14ac:dyDescent="0.2">
      <c r="A464" s="3" t="str">
        <f t="shared" si="4220"/>
        <v>g1sgd4_rabit__wt</v>
      </c>
      <c r="B464" s="3" t="s">
        <v>1416</v>
      </c>
      <c r="C464" s="3" t="s">
        <v>100</v>
      </c>
      <c r="D464" s="3" t="str">
        <f>IFERROR(MID(VLOOKUP($B464,Seqs!$A:$B,2,0),E464,1),"")</f>
        <v>P</v>
      </c>
      <c r="E464" s="3">
        <v>137</v>
      </c>
      <c r="F464" s="3" t="str">
        <f>IFERROR(MID(VLOOKUP($B464,Seqs!$A:$B,2,0),G464,1),"")</f>
        <v>F</v>
      </c>
      <c r="G464" s="3">
        <v>169</v>
      </c>
      <c r="H464" s="3" t="str">
        <f>IFERROR(MID(VLOOKUP($B464,Seqs!$A:$B,2,0),I464,1),"")</f>
        <v>R</v>
      </c>
      <c r="I464" s="23">
        <v>170</v>
      </c>
      <c r="J464" s="3" t="str">
        <f>IFERROR(MID(VLOOKUP($B464,Seqs!$A:$B,2,0),K464,1),"")</f>
        <v>H</v>
      </c>
      <c r="K464" s="23">
        <v>173</v>
      </c>
      <c r="L464" s="3" t="str">
        <f>IFERROR(MID(VLOOKUP($B464,Seqs!$A:$B,2,0),M464,1),"")</f>
        <v>C</v>
      </c>
      <c r="M464" s="23">
        <v>174</v>
      </c>
      <c r="N464" s="3" t="str">
        <f>IFERROR(MID(VLOOKUP($B464,Seqs!$A:$B,2,0),O464,1),"")</f>
        <v>Q</v>
      </c>
      <c r="O464" s="3">
        <v>211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L</v>
      </c>
      <c r="U464" s="3">
        <v>224</v>
      </c>
      <c r="V464" s="3" t="str">
        <f>IFERROR(MID(VLOOKUP($B464,Seqs!$A:$B,2,0),W464,1),"")</f>
        <v>F</v>
      </c>
      <c r="W464" s="3">
        <v>257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S</v>
      </c>
      <c r="AC464" s="3">
        <v>261</v>
      </c>
      <c r="AD464" s="3" t="str">
        <f>IFERROR(MID(VLOOKUP($B464,Seqs!$A:$B,2,0),AE464,1),"")</f>
        <v>E</v>
      </c>
      <c r="AE464" s="3">
        <v>292</v>
      </c>
      <c r="AF464" s="3" t="str">
        <f>IFERROR(MID(VLOOKUP($B464,Seqs!$A:$B,2,0),AG464,1),"")</f>
        <v>C</v>
      </c>
      <c r="AG464" s="3">
        <v>296</v>
      </c>
      <c r="AH464" s="3" t="str">
        <f>IFERROR(MID(VLOOKUP($B464,Seqs!$A:$B,2,0),AI464,1),"")</f>
        <v>T</v>
      </c>
      <c r="AI464" s="3">
        <v>298</v>
      </c>
      <c r="AJ464" s="3" t="str">
        <f>IFERROR(MID(VLOOKUP($B464,Seqs!$A:$B,2,0),AK464,1),"")</f>
        <v>N</v>
      </c>
      <c r="AK464" s="105">
        <v>302</v>
      </c>
      <c r="AL464" s="3" t="str">
        <f>IFERROR(MID(VLOOKUP($B464,Seqs!$A:$B,2,0),AM464,1),"")</f>
        <v>A</v>
      </c>
      <c r="AM464" s="3">
        <v>337</v>
      </c>
      <c r="AN464" s="3" t="str">
        <f>IFERROR(MID(VLOOKUP($B464,Seqs!$A:$B,2,0),AO464,1),"")</f>
        <v>K</v>
      </c>
      <c r="AO464" s="3">
        <v>346</v>
      </c>
      <c r="AP464" s="3" t="str">
        <f>IFERROR(MID(VLOOKUP($B464,Seqs!$A:$B,2,0),AQ464,1),"")</f>
        <v>F</v>
      </c>
      <c r="AQ464" s="3">
        <v>369</v>
      </c>
      <c r="AR464" s="3" t="str">
        <f>IFERROR(MID(VLOOKUP($B464,Seqs!$A:$B,2,0),AS464,1),"")</f>
        <v>L</v>
      </c>
      <c r="AS464" s="3">
        <v>379</v>
      </c>
      <c r="AT464" s="3" t="str">
        <f>IFERROR(MID(VLOOKUP($B464,Seqs!$A:$B,2,0),AU464,1),"")</f>
        <v>V</v>
      </c>
      <c r="AU464" s="3">
        <v>405</v>
      </c>
      <c r="AV464" s="3" t="str">
        <f>IFERROR(MID(VLOOKUP($B464,Seqs!$A:$B,2,0),AW464,1),"")</f>
        <v>N</v>
      </c>
      <c r="AW464" s="3">
        <v>406</v>
      </c>
      <c r="AX464" s="3" t="str">
        <f>IFERROR(MID(VLOOKUP($B464,Seqs!$A:$B,2,0),AY464,1),"")</f>
        <v>S</v>
      </c>
      <c r="AY464" s="3">
        <v>431</v>
      </c>
      <c r="AZ464" s="77" t="str">
        <f>VLOOKUP(B464,Classification!A:D,2,0)</f>
        <v>B1</v>
      </c>
      <c r="BA464" s="94" t="str">
        <f>VLOOKUP(B464,Classification!A:D,4,0)</f>
        <v>Glucagonreceptorfamily</v>
      </c>
      <c r="BB464" s="27" t="b">
        <f t="shared" si="4221"/>
        <v>1</v>
      </c>
      <c r="BC464" s="23">
        <f t="shared" si="4222"/>
        <v>259</v>
      </c>
      <c r="BD464" s="4" t="s">
        <v>23</v>
      </c>
      <c r="BE464" s="3" t="s">
        <v>23</v>
      </c>
      <c r="BF464" s="118" t="s">
        <v>23</v>
      </c>
      <c r="BI464" s="1"/>
      <c r="BJ464" s="70" t="s">
        <v>1283</v>
      </c>
      <c r="BK464" s="57" t="s">
        <v>1283</v>
      </c>
      <c r="BL464" s="57" t="s">
        <v>1283</v>
      </c>
      <c r="BM464" s="57" t="s">
        <v>1283</v>
      </c>
      <c r="BN464" s="57" t="s">
        <v>1283</v>
      </c>
      <c r="BO464" s="57" t="s">
        <v>1283</v>
      </c>
      <c r="BP464" s="57" t="s">
        <v>1283</v>
      </c>
      <c r="BQ464" s="57" t="s">
        <v>1283</v>
      </c>
      <c r="BR464" s="57" t="s">
        <v>1283</v>
      </c>
      <c r="BS464" s="57" t="s">
        <v>1283</v>
      </c>
      <c r="BT464" s="57" t="s">
        <v>1283</v>
      </c>
      <c r="BU464" s="57" t="s">
        <v>1283</v>
      </c>
      <c r="BV464" s="70">
        <f t="shared" si="4223"/>
        <v>137</v>
      </c>
      <c r="BW464" s="71">
        <f t="shared" si="4224"/>
        <v>170</v>
      </c>
      <c r="BX464" s="72">
        <f t="shared" si="4225"/>
        <v>174</v>
      </c>
      <c r="BY464" s="71" t="str">
        <f t="shared" si="4226"/>
        <v>-</v>
      </c>
      <c r="BZ464" s="72">
        <f t="shared" si="4227"/>
        <v>224</v>
      </c>
      <c r="CA464" s="71" t="str">
        <f t="shared" si="4228"/>
        <v>-</v>
      </c>
      <c r="CB464" s="72">
        <f t="shared" si="4229"/>
        <v>261</v>
      </c>
      <c r="CC464" s="71">
        <f t="shared" si="4230"/>
        <v>296</v>
      </c>
      <c r="CD464" s="72">
        <f t="shared" si="4231"/>
        <v>302</v>
      </c>
      <c r="CE464" s="71">
        <f t="shared" si="4232"/>
        <v>346</v>
      </c>
      <c r="CF464" s="72">
        <f t="shared" si="4233"/>
        <v>379</v>
      </c>
      <c r="CG464" s="71">
        <f t="shared" si="4234"/>
        <v>406</v>
      </c>
      <c r="CH464" s="70">
        <f t="shared" si="4235"/>
        <v>169</v>
      </c>
      <c r="CI464" s="71">
        <f t="shared" si="4236"/>
        <v>173</v>
      </c>
      <c r="CJ464" s="72">
        <f t="shared" si="4237"/>
        <v>211</v>
      </c>
      <c r="CK464" s="72" t="str">
        <f t="shared" si="4238"/>
        <v>-</v>
      </c>
      <c r="CL464" s="72">
        <f t="shared" si="4239"/>
        <v>257</v>
      </c>
      <c r="CM464" s="72" t="str">
        <f t="shared" si="4240"/>
        <v>-</v>
      </c>
      <c r="CN464" s="72">
        <f t="shared" si="4241"/>
        <v>292</v>
      </c>
      <c r="CO464" s="72">
        <f t="shared" si="4242"/>
        <v>298</v>
      </c>
      <c r="CP464" s="72">
        <f t="shared" si="4243"/>
        <v>337</v>
      </c>
      <c r="CQ464" s="72">
        <f t="shared" si="4244"/>
        <v>369</v>
      </c>
      <c r="CR464" s="72">
        <f t="shared" si="4245"/>
        <v>405</v>
      </c>
      <c r="CS464" s="72">
        <f t="shared" si="4246"/>
        <v>431</v>
      </c>
      <c r="CT464" s="23">
        <f t="shared" si="4247"/>
        <v>1</v>
      </c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</row>
    <row r="465" spans="1:1029" x14ac:dyDescent="0.2">
      <c r="A465" s="3" t="str">
        <f t="shared" si="4220"/>
        <v>g1sgd4_rabit_5VAI</v>
      </c>
      <c r="B465" s="3" t="s">
        <v>1416</v>
      </c>
      <c r="C465" s="3" t="s">
        <v>1417</v>
      </c>
      <c r="D465" s="3" t="str">
        <f>IFERROR(MID(VLOOKUP($B465,Seqs!$A:$B,2,0),E465,1),"")</f>
        <v>P</v>
      </c>
      <c r="E465" s="3">
        <v>137</v>
      </c>
      <c r="F465" s="3" t="str">
        <f>IFERROR(MID(VLOOKUP($B465,Seqs!$A:$B,2,0),G465,1),"")</f>
        <v>G</v>
      </c>
      <c r="G465" s="3">
        <v>168</v>
      </c>
      <c r="H465" s="3" t="str">
        <f>IFERROR(MID(VLOOKUP($B465,Seqs!$A:$B,2,0),I465,1),"")</f>
        <v>R</v>
      </c>
      <c r="I465" s="23">
        <v>170</v>
      </c>
      <c r="J465" s="3" t="str">
        <f>IFERROR(MID(VLOOKUP($B465,Seqs!$A:$B,2,0),K465,1),"")</f>
        <v>H</v>
      </c>
      <c r="K465" s="23">
        <v>173</v>
      </c>
      <c r="L465" s="3" t="str">
        <f>IFERROR(MID(VLOOKUP($B465,Seqs!$A:$B,2,0),M465,1),"")</f>
        <v>C</v>
      </c>
      <c r="M465" s="23">
        <v>174</v>
      </c>
      <c r="N465" s="3" t="str">
        <f>IFERROR(MID(VLOOKUP($B465,Seqs!$A:$B,2,0),O465,1),"")</f>
        <v>Q</v>
      </c>
      <c r="O465" s="3">
        <v>211</v>
      </c>
      <c r="P465" s="3" t="str">
        <f>IFERROR(MID(VLOOKUP($B465,Seqs!$A:$B,2,0),Q465,1),"")</f>
        <v/>
      </c>
      <c r="Q465" s="3" t="s">
        <v>23</v>
      </c>
      <c r="R465" s="3" t="str">
        <f>IFERROR(MID(VLOOKUP($B465,Seqs!$A:$B,2,0),S465,1),"")</f>
        <v/>
      </c>
      <c r="S465" s="3" t="s">
        <v>23</v>
      </c>
      <c r="T465" s="3" t="str">
        <f>IFERROR(MID(VLOOKUP($B465,Seqs!$A:$B,2,0),U465,1),"")</f>
        <v>L</v>
      </c>
      <c r="U465" s="3">
        <v>224</v>
      </c>
      <c r="V465" s="3" t="str">
        <f>IFERROR(MID(VLOOKUP($B465,Seqs!$A:$B,2,0),W465,1),"")</f>
        <v>F</v>
      </c>
      <c r="W465" s="3">
        <v>257</v>
      </c>
      <c r="X465" s="3" t="str">
        <f>IFERROR(MID(VLOOKUP($B465,Seqs!$A:$B,2,0),Y465,1),"")</f>
        <v/>
      </c>
      <c r="Y465" s="3" t="s">
        <v>23</v>
      </c>
      <c r="Z465" s="3" t="str">
        <f>IFERROR(MID(VLOOKUP($B465,Seqs!$A:$B,2,0),AA465,1),"")</f>
        <v/>
      </c>
      <c r="AA465" s="3" t="s">
        <v>23</v>
      </c>
      <c r="AB465" s="3" t="str">
        <f>IFERROR(MID(VLOOKUP($B465,Seqs!$A:$B,2,0),AC465,1),"")</f>
        <v>S</v>
      </c>
      <c r="AC465" s="3">
        <v>261</v>
      </c>
      <c r="AD465" s="3" t="str">
        <f>IFERROR(MID(VLOOKUP($B465,Seqs!$A:$B,2,0),AE465,1),"")</f>
        <v>E</v>
      </c>
      <c r="AE465" s="3">
        <v>292</v>
      </c>
      <c r="AF465" s="3" t="str">
        <f>IFERROR(MID(VLOOKUP($B465,Seqs!$A:$B,2,0),AG465,1),"")</f>
        <v>C</v>
      </c>
      <c r="AG465" s="3">
        <v>296</v>
      </c>
      <c r="AH465" s="3" t="str">
        <f>IFERROR(MID(VLOOKUP($B465,Seqs!$A:$B,2,0),AI465,1),"")</f>
        <v>T</v>
      </c>
      <c r="AI465" s="3">
        <v>298</v>
      </c>
      <c r="AJ465" s="3" t="str">
        <f>IFERROR(MID(VLOOKUP($B465,Seqs!$A:$B,2,0),AK465,1),"")</f>
        <v>Y</v>
      </c>
      <c r="AK465" s="3">
        <v>305</v>
      </c>
      <c r="AL465" s="3" t="str">
        <f>IFERROR(MID(VLOOKUP($B465,Seqs!$A:$B,2,0),AM465,1),"")</f>
        <v>A</v>
      </c>
      <c r="AM465" s="3">
        <v>337</v>
      </c>
      <c r="AN465" s="3" t="str">
        <f>IFERROR(MID(VLOOKUP($B465,Seqs!$A:$B,2,0),AO465,1),"")</f>
        <v>K</v>
      </c>
      <c r="AO465" s="3">
        <v>346</v>
      </c>
      <c r="AP465" s="3" t="str">
        <f>IFERROR(MID(VLOOKUP($B465,Seqs!$A:$B,2,0),AQ465,1),"")</f>
        <v>F</v>
      </c>
      <c r="AQ465" s="3">
        <v>369</v>
      </c>
      <c r="AR465" s="3" t="str">
        <f>IFERROR(MID(VLOOKUP($B465,Seqs!$A:$B,2,0),AS465,1),"")</f>
        <v>L</v>
      </c>
      <c r="AS465" s="3">
        <v>379</v>
      </c>
      <c r="AT465" s="3" t="str">
        <f>IFERROR(MID(VLOOKUP($B465,Seqs!$A:$B,2,0),AU465,1),"")</f>
        <v>V</v>
      </c>
      <c r="AU465" s="3">
        <v>405</v>
      </c>
      <c r="AV465" s="3" t="str">
        <f>IFERROR(MID(VLOOKUP($B465,Seqs!$A:$B,2,0),AW465,1),"")</f>
        <v>N</v>
      </c>
      <c r="AW465" s="3">
        <v>406</v>
      </c>
      <c r="AX465" s="3" t="str">
        <f>IFERROR(MID(VLOOKUP($B465,Seqs!$A:$B,2,0),AY465,1),"")</f>
        <v>R</v>
      </c>
      <c r="AY465" s="3">
        <v>421</v>
      </c>
      <c r="AZ465" s="77" t="str">
        <f>VLOOKUP(B465,Classification!A:D,2,0)</f>
        <v>B1</v>
      </c>
      <c r="BA465" s="94" t="str">
        <f>VLOOKUP(B465,Classification!A:D,4,0)</f>
        <v>Glucagonreceptorfamily</v>
      </c>
      <c r="BB465" s="27" t="b">
        <f t="shared" si="4221"/>
        <v>1</v>
      </c>
      <c r="BC465" s="23">
        <f t="shared" si="4222"/>
        <v>245</v>
      </c>
      <c r="BD465" s="4" t="s">
        <v>23</v>
      </c>
      <c r="BE465" s="3" t="s">
        <v>1287</v>
      </c>
      <c r="BF465" s="118">
        <v>4.0999999999999996</v>
      </c>
      <c r="BG465" s="49" t="s">
        <v>1418</v>
      </c>
      <c r="BH465" s="49" t="s">
        <v>1418</v>
      </c>
      <c r="BI465" s="1"/>
      <c r="BJ465" s="70" t="s">
        <v>1283</v>
      </c>
      <c r="BK465" s="57" t="s">
        <v>1283</v>
      </c>
      <c r="BL465" s="57" t="s">
        <v>1283</v>
      </c>
      <c r="BM465" s="57" t="s">
        <v>1283</v>
      </c>
      <c r="BN465" s="57" t="s">
        <v>1283</v>
      </c>
      <c r="BO465" s="57" t="s">
        <v>1283</v>
      </c>
      <c r="BP465" s="57" t="s">
        <v>1283</v>
      </c>
      <c r="BQ465" s="57" t="s">
        <v>1283</v>
      </c>
      <c r="BR465" s="57" t="s">
        <v>1283</v>
      </c>
      <c r="BS465" s="57" t="s">
        <v>1283</v>
      </c>
      <c r="BT465" s="57" t="s">
        <v>1283</v>
      </c>
      <c r="BU465" s="57" t="s">
        <v>1283</v>
      </c>
      <c r="BV465" s="70">
        <f t="shared" si="4223"/>
        <v>137</v>
      </c>
      <c r="BW465" s="71">
        <f t="shared" si="4224"/>
        <v>170</v>
      </c>
      <c r="BX465" s="72">
        <f t="shared" si="4225"/>
        <v>174</v>
      </c>
      <c r="BY465" s="71" t="str">
        <f t="shared" si="4226"/>
        <v>-</v>
      </c>
      <c r="BZ465" s="72">
        <f t="shared" si="4227"/>
        <v>224</v>
      </c>
      <c r="CA465" s="71" t="str">
        <f t="shared" si="4228"/>
        <v>-</v>
      </c>
      <c r="CB465" s="72">
        <f t="shared" si="4229"/>
        <v>261</v>
      </c>
      <c r="CC465" s="71">
        <f t="shared" si="4230"/>
        <v>296</v>
      </c>
      <c r="CD465" s="72">
        <f t="shared" si="4231"/>
        <v>305</v>
      </c>
      <c r="CE465" s="71">
        <f t="shared" si="4232"/>
        <v>346</v>
      </c>
      <c r="CF465" s="72">
        <f t="shared" si="4233"/>
        <v>379</v>
      </c>
      <c r="CG465" s="71">
        <f t="shared" si="4234"/>
        <v>406</v>
      </c>
      <c r="CH465" s="70">
        <f t="shared" si="4235"/>
        <v>168</v>
      </c>
      <c r="CI465" s="71">
        <f t="shared" si="4236"/>
        <v>173</v>
      </c>
      <c r="CJ465" s="72">
        <f t="shared" si="4237"/>
        <v>211</v>
      </c>
      <c r="CK465" s="72" t="str">
        <f t="shared" si="4238"/>
        <v>-</v>
      </c>
      <c r="CL465" s="72">
        <f t="shared" si="4239"/>
        <v>257</v>
      </c>
      <c r="CM465" s="72" t="str">
        <f t="shared" si="4240"/>
        <v>-</v>
      </c>
      <c r="CN465" s="72">
        <f t="shared" si="4241"/>
        <v>292</v>
      </c>
      <c r="CO465" s="72">
        <f t="shared" si="4242"/>
        <v>298</v>
      </c>
      <c r="CP465" s="72">
        <f t="shared" si="4243"/>
        <v>337</v>
      </c>
      <c r="CQ465" s="72">
        <f t="shared" si="4244"/>
        <v>369</v>
      </c>
      <c r="CR465" s="72">
        <f t="shared" si="4245"/>
        <v>405</v>
      </c>
      <c r="CS465" s="72">
        <f t="shared" si="4246"/>
        <v>421</v>
      </c>
      <c r="CT465" s="23">
        <f t="shared" si="4247"/>
        <v>1</v>
      </c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</row>
    <row r="466" spans="1:1029" x14ac:dyDescent="0.2">
      <c r="A466" s="3" t="str">
        <f t="shared" ref="A466:A467" si="4528">CONCATENATE(B466,"_",C466)</f>
        <v>pacr_human__wt</v>
      </c>
      <c r="B466" s="3" t="s">
        <v>407</v>
      </c>
      <c r="C466" s="3" t="s">
        <v>100</v>
      </c>
      <c r="D466" s="3" t="str">
        <f>IFERROR(MID(VLOOKUP($B466,Seqs!$A:$B,2,0),E466,1),"")</f>
        <v>Y</v>
      </c>
      <c r="E466" s="3">
        <v>139</v>
      </c>
      <c r="F466" s="3" t="str">
        <f>IFERROR(MID(VLOOKUP($B466,Seqs!$A:$B,2,0),G466,1),"")</f>
        <v>F</v>
      </c>
      <c r="G466" s="3">
        <v>178</v>
      </c>
      <c r="H466" s="3" t="str">
        <f>IFERROR(MID(VLOOKUP($B466,Seqs!$A:$B,2,0),I466,1),"")</f>
        <v>R</v>
      </c>
      <c r="I466" s="23">
        <v>179</v>
      </c>
      <c r="J466" s="3" t="str">
        <f>IFERROR(MID(VLOOKUP($B466,Seqs!$A:$B,2,0),K466,1),"")</f>
        <v>H</v>
      </c>
      <c r="K466" s="23">
        <v>182</v>
      </c>
      <c r="L466" s="3" t="str">
        <f>IFERROR(MID(VLOOKUP($B466,Seqs!$A:$B,2,0),M466,1),"")</f>
        <v>C</v>
      </c>
      <c r="M466" s="23">
        <v>183</v>
      </c>
      <c r="N466" s="3" t="str">
        <f>IFERROR(MID(VLOOKUP($B466,Seqs!$A:$B,2,0),O466,1),"")</f>
        <v>L</v>
      </c>
      <c r="O466" s="3">
        <v>210</v>
      </c>
      <c r="P466" s="3" t="str">
        <f>IFERROR(MID(VLOOKUP($B466,Seqs!$A:$B,2,0),Q466,1),"")</f>
        <v/>
      </c>
      <c r="Q466" s="3" t="s">
        <v>23</v>
      </c>
      <c r="R466" s="3" t="str">
        <f>IFERROR(MID(VLOOKUP($B466,Seqs!$A:$B,2,0),S466,1),"")</f>
        <v/>
      </c>
      <c r="S466" s="3" t="s">
        <v>23</v>
      </c>
      <c r="T466" s="3" t="str">
        <f>IFERROR(MID(VLOOKUP($B466,Seqs!$A:$B,2,0),U466,1),"")</f>
        <v>T</v>
      </c>
      <c r="U466" s="3">
        <v>223</v>
      </c>
      <c r="V466" s="3" t="str">
        <f>IFERROR(MID(VLOOKUP($B466,Seqs!$A:$B,2,0),W466,1),"")</f>
        <v>E</v>
      </c>
      <c r="W466" s="3">
        <v>257</v>
      </c>
      <c r="X466" s="3" t="str">
        <f>IFERROR(MID(VLOOKUP($B466,Seqs!$A:$B,2,0),Y466,1),"")</f>
        <v/>
      </c>
      <c r="Y466" s="3" t="s">
        <v>23</v>
      </c>
      <c r="Z466" s="3" t="str">
        <f>IFERROR(MID(VLOOKUP($B466,Seqs!$A:$B,2,0),AA466,1),"")</f>
        <v/>
      </c>
      <c r="AA466" s="3" t="s">
        <v>23</v>
      </c>
      <c r="AB466" s="3" t="str">
        <f>IFERROR(MID(VLOOKUP($B466,Seqs!$A:$B,2,0),AC466,1),"")</f>
        <v>R</v>
      </c>
      <c r="AC466" s="3">
        <v>264</v>
      </c>
      <c r="AD466" s="3" t="str">
        <f>IFERROR(MID(VLOOKUP($B466,Seqs!$A:$B,2,0),AE466,1),"")</f>
        <v>D</v>
      </c>
      <c r="AE466" s="3">
        <v>292</v>
      </c>
      <c r="AF466" s="3" t="str">
        <f>IFERROR(MID(VLOOKUP($B466,Seqs!$A:$B,2,0),AG466,1),"")</f>
        <v>C</v>
      </c>
      <c r="AG466" s="3">
        <v>296</v>
      </c>
      <c r="AH466" s="3" t="str">
        <f>IFERROR(MID(VLOOKUP($B466,Seqs!$A:$B,2,0),AI466,1),"")</f>
        <v>D</v>
      </c>
      <c r="AI466" s="3">
        <v>298</v>
      </c>
      <c r="AJ466" s="3" t="str">
        <f>IFERROR(MID(VLOOKUP($B466,Seqs!$A:$B,2,0),AK466,1),"")</f>
        <v>S</v>
      </c>
      <c r="AK466" s="3">
        <v>302</v>
      </c>
      <c r="AL466" s="3" t="str">
        <f>IFERROR(MID(VLOOKUP($B466,Seqs!$A:$B,2,0),AM466,1),"")</f>
        <v>L</v>
      </c>
      <c r="AM466" s="3">
        <v>335</v>
      </c>
      <c r="AN466" s="3" t="str">
        <f>IFERROR(MID(VLOOKUP($B466,Seqs!$A:$B,2,0),AO466,1),"")</f>
        <v>N</v>
      </c>
      <c r="AO466" s="3">
        <v>343</v>
      </c>
      <c r="AP466" s="3" t="str">
        <f>IFERROR(MID(VLOOKUP($B466,Seqs!$A:$B,2,0),AQ466,1),"")</f>
        <v>S</v>
      </c>
      <c r="AQ466" s="3">
        <v>372</v>
      </c>
      <c r="AR466" s="3" t="str">
        <f>IFERROR(MID(VLOOKUP($B466,Seqs!$A:$B,2,0),AS466,1),"")</f>
        <v>K</v>
      </c>
      <c r="AS466" s="3">
        <v>378</v>
      </c>
      <c r="AT466" s="3" t="str">
        <f>IFERROR(MID(VLOOKUP($B466,Seqs!$A:$B,2,0),AU466,1),"")</f>
        <v>L</v>
      </c>
      <c r="AU466" s="3">
        <v>403</v>
      </c>
      <c r="AV466" s="3" t="str">
        <f>IFERROR(MID(VLOOKUP($B466,Seqs!$A:$B,2,0),AW466,1),"")</f>
        <v>N</v>
      </c>
      <c r="AW466" s="3">
        <v>404</v>
      </c>
      <c r="AX466" s="3" t="str">
        <f>IFERROR(MID(VLOOKUP($B466,Seqs!$A:$B,2,0),AY466,1),"")</f>
        <v>K</v>
      </c>
      <c r="AY466" s="3">
        <v>429</v>
      </c>
      <c r="AZ466" s="77" t="str">
        <f>VLOOKUP(B466,Classification!A:D,2,0)</f>
        <v>B1</v>
      </c>
      <c r="BA466" s="94" t="str">
        <f>VLOOKUP(B466,Classification!A:D,4,0)</f>
        <v>VIPandPACAP</v>
      </c>
      <c r="BB466" s="27" t="b">
        <f t="shared" ref="BB466:BB467" si="4529">AND(E466&lt;G466,OR(G466&lt;I466,I466="-"),OR(I466&lt;K466,I466="-"),OR(K466&lt;M466,K466="-"),M466&lt;O466,OR(O466&lt;Q466,Q466="-"),OR(Q466&lt;S466,Q466="-"),OR(S466&lt;U466,S466="-"),U466&lt;W466,OR(W466&lt;Y466,Y466="-"),OR(Y466&lt;AA466,Y466="-"),OR(AA466&lt;AC466,AA466="-"),AC466&lt;AE466,OR(AE466&lt;AG466,AG466="-"),OR(AG466&lt;AI466,AG466="-"),OR(AI466&lt;AK466,AI466="-"),AK466&lt;AM466,AM466&lt;AO466,AO466&lt;AQ466,AQ466&lt;AS466,AS466&lt;AU466,OR(AU466&lt;AW466,AW466="-"),OR(AW466&lt;AY466,AW466="-"))</f>
        <v>1</v>
      </c>
      <c r="BC466" s="23">
        <f t="shared" ref="BC466:BC467" si="4530">_xlfn.AGGREGATE(9,6,CH466:CS466)-_xlfn.AGGREGATE(9,6,BV466:CG466)+12</f>
        <v>257</v>
      </c>
      <c r="BD466" s="4" t="s">
        <v>23</v>
      </c>
      <c r="BE466" s="3" t="s">
        <v>23</v>
      </c>
      <c r="BF466" s="118" t="s">
        <v>23</v>
      </c>
      <c r="BG466" s="49" t="s">
        <v>23</v>
      </c>
      <c r="BH466" s="49" t="s">
        <v>23</v>
      </c>
      <c r="BI466" s="1"/>
      <c r="BJ466" s="70" t="s">
        <v>1283</v>
      </c>
      <c r="BK466" s="57" t="s">
        <v>1283</v>
      </c>
      <c r="BL466" s="57" t="s">
        <v>1283</v>
      </c>
      <c r="BM466" s="57" t="s">
        <v>1283</v>
      </c>
      <c r="BN466" s="57" t="s">
        <v>1283</v>
      </c>
      <c r="BO466" s="57" t="s">
        <v>1283</v>
      </c>
      <c r="BP466" s="57" t="s">
        <v>1283</v>
      </c>
      <c r="BQ466" s="57" t="s">
        <v>1283</v>
      </c>
      <c r="BR466" s="57" t="s">
        <v>1283</v>
      </c>
      <c r="BS466" s="57" t="s">
        <v>1283</v>
      </c>
      <c r="BT466" s="57" t="s">
        <v>1283</v>
      </c>
      <c r="BU466" s="57" t="s">
        <v>1283</v>
      </c>
      <c r="BV466" s="70">
        <f t="shared" ref="BV466:BV467" si="4531">E466</f>
        <v>139</v>
      </c>
      <c r="BW466" s="71">
        <f t="shared" ref="BW466:BW467" si="4532">I466</f>
        <v>179</v>
      </c>
      <c r="BX466" s="72">
        <f t="shared" ref="BX466:BX467" si="4533">M466</f>
        <v>183</v>
      </c>
      <c r="BY466" s="71" t="str">
        <f t="shared" ref="BY466:BY467" si="4534">Q466</f>
        <v>-</v>
      </c>
      <c r="BZ466" s="72">
        <f t="shared" ref="BZ466:BZ467" si="4535">U466</f>
        <v>223</v>
      </c>
      <c r="CA466" s="71" t="str">
        <f t="shared" ref="CA466:CA467" si="4536">Y466</f>
        <v>-</v>
      </c>
      <c r="CB466" s="72">
        <f t="shared" ref="CB466:CB467" si="4537">AC466</f>
        <v>264</v>
      </c>
      <c r="CC466" s="71">
        <f t="shared" ref="CC466:CC467" si="4538">AG466</f>
        <v>296</v>
      </c>
      <c r="CD466" s="72">
        <f t="shared" ref="CD466:CD467" si="4539">AK466</f>
        <v>302</v>
      </c>
      <c r="CE466" s="71">
        <f t="shared" ref="CE466:CE467" si="4540">AO466</f>
        <v>343</v>
      </c>
      <c r="CF466" s="72">
        <f t="shared" ref="CF466:CF467" si="4541">AS466</f>
        <v>378</v>
      </c>
      <c r="CG466" s="71">
        <f t="shared" ref="CG466:CG467" si="4542">AW466</f>
        <v>404</v>
      </c>
      <c r="CH466" s="70">
        <f t="shared" ref="CH466:CH467" si="4543">G466</f>
        <v>178</v>
      </c>
      <c r="CI466" s="71">
        <f t="shared" ref="CI466:CI467" si="4544">K466</f>
        <v>182</v>
      </c>
      <c r="CJ466" s="72">
        <f t="shared" ref="CJ466:CJ467" si="4545">O466</f>
        <v>210</v>
      </c>
      <c r="CK466" s="72" t="str">
        <f t="shared" ref="CK466:CK467" si="4546">S466</f>
        <v>-</v>
      </c>
      <c r="CL466" s="72">
        <f t="shared" ref="CL466:CL467" si="4547">W466</f>
        <v>257</v>
      </c>
      <c r="CM466" s="72" t="str">
        <f t="shared" ref="CM466:CM467" si="4548">AA466</f>
        <v>-</v>
      </c>
      <c r="CN466" s="72">
        <f t="shared" ref="CN466:CN467" si="4549">AE466</f>
        <v>292</v>
      </c>
      <c r="CO466" s="72">
        <f t="shared" ref="CO466:CO467" si="4550">AI466</f>
        <v>298</v>
      </c>
      <c r="CP466" s="72">
        <f t="shared" ref="CP466:CP467" si="4551">AM466</f>
        <v>335</v>
      </c>
      <c r="CQ466" s="72">
        <f t="shared" ref="CQ466:CQ467" si="4552">AQ466</f>
        <v>372</v>
      </c>
      <c r="CR466" s="72">
        <f t="shared" ref="CR466:CR467" si="4553">AU466</f>
        <v>403</v>
      </c>
      <c r="CS466" s="72">
        <f t="shared" ref="CS466:CS467" si="4554">AY466</f>
        <v>429</v>
      </c>
      <c r="CT466" s="23">
        <f t="shared" ref="CT466:CT467" si="4555">M466-K466</f>
        <v>1</v>
      </c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  <c r="AMK466" s="1"/>
      <c r="AML466" s="1"/>
      <c r="AMM466" s="1"/>
      <c r="AMN466" s="1"/>
      <c r="AMO466" s="1"/>
    </row>
    <row r="467" spans="1:1029" x14ac:dyDescent="0.2">
      <c r="A467" s="3" t="str">
        <f t="shared" si="4528"/>
        <v>pacr_human_6P9Y</v>
      </c>
      <c r="B467" s="3" t="s">
        <v>407</v>
      </c>
      <c r="C467" s="3" t="s">
        <v>1641</v>
      </c>
      <c r="D467" s="3" t="str">
        <f>IFERROR(MID(VLOOKUP($B467,Seqs!$A:$B,2,0),E467,1),"")</f>
        <v>Y</v>
      </c>
      <c r="E467" s="3">
        <v>149</v>
      </c>
      <c r="F467" s="3" t="str">
        <f>IFERROR(MID(VLOOKUP($B467,Seqs!$A:$B,2,0),G467,1),"")</f>
        <v>F</v>
      </c>
      <c r="G467" s="3">
        <v>178</v>
      </c>
      <c r="H467" s="3" t="str">
        <f>IFERROR(MID(VLOOKUP($B467,Seqs!$A:$B,2,0),I467,1),"")</f>
        <v/>
      </c>
      <c r="I467" s="23" t="s">
        <v>23</v>
      </c>
      <c r="J467" s="3" t="str">
        <f>IFERROR(MID(VLOOKUP($B467,Seqs!$A:$B,2,0),K467,1),"")</f>
        <v/>
      </c>
      <c r="K467" s="23" t="s">
        <v>23</v>
      </c>
      <c r="L467" s="3" t="str">
        <f>IFERROR(MID(VLOOKUP($B467,Seqs!$A:$B,2,0),M467,1),"")</f>
        <v>C</v>
      </c>
      <c r="M467" s="23">
        <v>183</v>
      </c>
      <c r="N467" s="3" t="str">
        <f>IFERROR(MID(VLOOKUP($B467,Seqs!$A:$B,2,0),O467,1),"")</f>
        <v>Y</v>
      </c>
      <c r="O467" s="3">
        <v>211</v>
      </c>
      <c r="P467" s="3" t="str">
        <f>IFERROR(MID(VLOOKUP($B467,Seqs!$A:$B,2,0),Q467,1),"")</f>
        <v/>
      </c>
      <c r="Q467" s="3" t="s">
        <v>23</v>
      </c>
      <c r="R467" s="3" t="str">
        <f>IFERROR(MID(VLOOKUP($B467,Seqs!$A:$B,2,0),S467,1),"")</f>
        <v/>
      </c>
      <c r="S467" s="3" t="s">
        <v>23</v>
      </c>
      <c r="T467" s="3" t="str">
        <f>IFERROR(MID(VLOOKUP($B467,Seqs!$A:$B,2,0),U467,1),"")</f>
        <v>T</v>
      </c>
      <c r="U467" s="3">
        <v>223</v>
      </c>
      <c r="V467" s="3" t="str">
        <f>IFERROR(MID(VLOOKUP($B467,Seqs!$A:$B,2,0),W467,1),"")</f>
        <v>V</v>
      </c>
      <c r="W467" s="3">
        <v>256</v>
      </c>
      <c r="X467" s="3" t="str">
        <f>IFERROR(MID(VLOOKUP($B467,Seqs!$A:$B,2,0),Y467,1),"")</f>
        <v/>
      </c>
      <c r="Y467" s="3" t="s">
        <v>23</v>
      </c>
      <c r="Z467" s="3" t="str">
        <f>IFERROR(MID(VLOOKUP($B467,Seqs!$A:$B,2,0),AA467,1),"")</f>
        <v/>
      </c>
      <c r="AA467" s="3" t="s">
        <v>23</v>
      </c>
      <c r="AB467" s="3" t="str">
        <f>IFERROR(MID(VLOOKUP($B467,Seqs!$A:$B,2,0),AC467,1),"")</f>
        <v>R</v>
      </c>
      <c r="AC467" s="3">
        <v>264</v>
      </c>
      <c r="AD467" s="3" t="str">
        <f>IFERROR(MID(VLOOKUP($B467,Seqs!$A:$B,2,0),AE467,1),"")</f>
        <v>F</v>
      </c>
      <c r="AE467" s="3">
        <v>291</v>
      </c>
      <c r="AF467" s="3" t="str">
        <f>IFERROR(MID(VLOOKUP($B467,Seqs!$A:$B,2,0),AG467,1),"")</f>
        <v>C</v>
      </c>
      <c r="AG467" s="3">
        <v>296</v>
      </c>
      <c r="AH467" s="3" t="str">
        <f>IFERROR(MID(VLOOKUP($B467,Seqs!$A:$B,2,0),AI467,1),"")</f>
        <v>D</v>
      </c>
      <c r="AI467" s="3">
        <v>298</v>
      </c>
      <c r="AJ467" s="3" t="str">
        <f>IFERROR(MID(VLOOKUP($B467,Seqs!$A:$B,2,0),AK467,1),"")</f>
        <v>S</v>
      </c>
      <c r="AK467" s="3">
        <v>302</v>
      </c>
      <c r="AL467" s="3" t="str">
        <f>IFERROR(MID(VLOOKUP($B467,Seqs!$A:$B,2,0),AM467,1),"")</f>
        <v>S</v>
      </c>
      <c r="AM467" s="3">
        <v>337</v>
      </c>
      <c r="AN467" s="3" t="str">
        <f>IFERROR(MID(VLOOKUP($B467,Seqs!$A:$B,2,0),AO467,1),"")</f>
        <v>S</v>
      </c>
      <c r="AO467" s="3">
        <v>346</v>
      </c>
      <c r="AP467" s="3" t="str">
        <f>IFERROR(MID(VLOOKUP($B467,Seqs!$A:$B,2,0),AQ467,1),"")</f>
        <v>A</v>
      </c>
      <c r="AQ467" s="3">
        <v>370</v>
      </c>
      <c r="AR467" s="3" t="str">
        <f>IFERROR(MID(VLOOKUP($B467,Seqs!$A:$B,2,0),AS467,1),"")</f>
        <v>K</v>
      </c>
      <c r="AS467" s="3">
        <v>378</v>
      </c>
      <c r="AT467" s="3" t="str">
        <f>IFERROR(MID(VLOOKUP($B467,Seqs!$A:$B,2,0),AU467,1),"")</f>
        <v>L</v>
      </c>
      <c r="AU467" s="3">
        <v>403</v>
      </c>
      <c r="AV467" s="3" t="str">
        <f>IFERROR(MID(VLOOKUP($B467,Seqs!$A:$B,2,0),AW467,1),"")</f>
        <v>N</v>
      </c>
      <c r="AW467" s="3">
        <v>404</v>
      </c>
      <c r="AX467" s="3" t="str">
        <f>IFERROR(MID(VLOOKUP($B467,Seqs!$A:$B,2,0),AY467,1),"")</f>
        <v>W</v>
      </c>
      <c r="AY467" s="3">
        <v>418</v>
      </c>
      <c r="AZ467" s="77" t="str">
        <f>VLOOKUP(B467,Classification!A:D,2,0)</f>
        <v>B1</v>
      </c>
      <c r="BA467" s="94" t="str">
        <f>VLOOKUP(B467,Classification!A:D,4,0)</f>
        <v>VIPandPACAP</v>
      </c>
      <c r="BB467" s="27" t="b">
        <f t="shared" si="4529"/>
        <v>1</v>
      </c>
      <c r="BC467" s="23">
        <f t="shared" si="4530"/>
        <v>229</v>
      </c>
      <c r="BD467" s="4" t="s">
        <v>1371</v>
      </c>
      <c r="BE467" s="3" t="s">
        <v>1287</v>
      </c>
      <c r="BF467" s="118">
        <v>3.01</v>
      </c>
      <c r="BG467" s="49" t="s">
        <v>1418</v>
      </c>
      <c r="BH467" s="49" t="s">
        <v>1418</v>
      </c>
      <c r="BI467" s="1"/>
      <c r="BJ467" s="70" t="s">
        <v>1283</v>
      </c>
      <c r="BK467" s="57" t="s">
        <v>1283</v>
      </c>
      <c r="BL467" s="57" t="s">
        <v>1283</v>
      </c>
      <c r="BM467" s="57" t="s">
        <v>1283</v>
      </c>
      <c r="BN467" s="57" t="s">
        <v>1283</v>
      </c>
      <c r="BO467" s="57" t="s">
        <v>1283</v>
      </c>
      <c r="BP467" s="57" t="s">
        <v>1283</v>
      </c>
      <c r="BQ467" s="57" t="s">
        <v>1283</v>
      </c>
      <c r="BR467" s="57" t="s">
        <v>1283</v>
      </c>
      <c r="BS467" s="57" t="s">
        <v>1283</v>
      </c>
      <c r="BT467" s="57" t="s">
        <v>1283</v>
      </c>
      <c r="BU467" s="57" t="s">
        <v>1283</v>
      </c>
      <c r="BV467" s="70">
        <f t="shared" si="4531"/>
        <v>149</v>
      </c>
      <c r="BW467" s="71" t="str">
        <f t="shared" si="4532"/>
        <v>-</v>
      </c>
      <c r="BX467" s="72">
        <f t="shared" si="4533"/>
        <v>183</v>
      </c>
      <c r="BY467" s="71" t="str">
        <f t="shared" si="4534"/>
        <v>-</v>
      </c>
      <c r="BZ467" s="72">
        <f t="shared" si="4535"/>
        <v>223</v>
      </c>
      <c r="CA467" s="71" t="str">
        <f t="shared" si="4536"/>
        <v>-</v>
      </c>
      <c r="CB467" s="72">
        <f t="shared" si="4537"/>
        <v>264</v>
      </c>
      <c r="CC467" s="71">
        <f t="shared" si="4538"/>
        <v>296</v>
      </c>
      <c r="CD467" s="72">
        <f t="shared" si="4539"/>
        <v>302</v>
      </c>
      <c r="CE467" s="71">
        <f t="shared" si="4540"/>
        <v>346</v>
      </c>
      <c r="CF467" s="72">
        <f t="shared" si="4541"/>
        <v>378</v>
      </c>
      <c r="CG467" s="71">
        <f t="shared" si="4542"/>
        <v>404</v>
      </c>
      <c r="CH467" s="70">
        <f t="shared" si="4543"/>
        <v>178</v>
      </c>
      <c r="CI467" s="71" t="str">
        <f t="shared" si="4544"/>
        <v>-</v>
      </c>
      <c r="CJ467" s="72">
        <f t="shared" si="4545"/>
        <v>211</v>
      </c>
      <c r="CK467" s="72" t="str">
        <f t="shared" si="4546"/>
        <v>-</v>
      </c>
      <c r="CL467" s="72">
        <f t="shared" si="4547"/>
        <v>256</v>
      </c>
      <c r="CM467" s="72" t="str">
        <f t="shared" si="4548"/>
        <v>-</v>
      </c>
      <c r="CN467" s="72">
        <f t="shared" si="4549"/>
        <v>291</v>
      </c>
      <c r="CO467" s="72">
        <f t="shared" si="4550"/>
        <v>298</v>
      </c>
      <c r="CP467" s="72">
        <f t="shared" si="4551"/>
        <v>337</v>
      </c>
      <c r="CQ467" s="72">
        <f t="shared" si="4552"/>
        <v>370</v>
      </c>
      <c r="CR467" s="72">
        <f t="shared" si="4553"/>
        <v>403</v>
      </c>
      <c r="CS467" s="72">
        <f t="shared" si="4554"/>
        <v>418</v>
      </c>
      <c r="CT467" s="23" t="e">
        <f t="shared" si="4555"/>
        <v>#VALUE!</v>
      </c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</row>
    <row r="468" spans="1:1029" x14ac:dyDescent="0.2">
      <c r="A468" s="3" t="str">
        <f t="shared" ref="A468" si="4556">CONCATENATE(B468,"_",C468)</f>
        <v>pacr_human_6LPB</v>
      </c>
      <c r="B468" s="3" t="s">
        <v>407</v>
      </c>
      <c r="C468" s="3" t="s">
        <v>1673</v>
      </c>
      <c r="D468" s="3" t="str">
        <f>IFERROR(MID(VLOOKUP($B468,Seqs!$A:$B,2,0),E468,1),"")</f>
        <v>Q</v>
      </c>
      <c r="E468" s="3">
        <v>146</v>
      </c>
      <c r="F468" s="3" t="str">
        <f>IFERROR(MID(VLOOKUP($B468,Seqs!$A:$B,2,0),G468,1),"")</f>
        <v>C</v>
      </c>
      <c r="G468" s="3">
        <v>176</v>
      </c>
      <c r="H468" s="3" t="str">
        <f>IFERROR(MID(VLOOKUP($B468,Seqs!$A:$B,2,0),I468,1),"")</f>
        <v/>
      </c>
      <c r="I468" s="23" t="s">
        <v>23</v>
      </c>
      <c r="J468" s="3" t="str">
        <f>IFERROR(MID(VLOOKUP($B468,Seqs!$A:$B,2,0),K468,1),"")</f>
        <v/>
      </c>
      <c r="K468" s="23" t="s">
        <v>23</v>
      </c>
      <c r="L468" s="3" t="str">
        <f>IFERROR(MID(VLOOKUP($B468,Seqs!$A:$B,2,0),M468,1),"")</f>
        <v>T</v>
      </c>
      <c r="M468" s="23">
        <v>184</v>
      </c>
      <c r="N468" s="3" t="str">
        <f>IFERROR(MID(VLOOKUP($B468,Seqs!$A:$B,2,0),O468,1),"")</f>
        <v>Y</v>
      </c>
      <c r="O468" s="3">
        <v>211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T</v>
      </c>
      <c r="U468" s="3">
        <v>223</v>
      </c>
      <c r="V468" s="3" t="str">
        <f>IFERROR(MID(VLOOKUP($B468,Seqs!$A:$B,2,0),W468,1),"")</f>
        <v>E</v>
      </c>
      <c r="W468" s="3">
        <v>257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E</v>
      </c>
      <c r="AC468" s="3">
        <v>262</v>
      </c>
      <c r="AD468" s="3" t="str">
        <f>IFERROR(MID(VLOOKUP($B468,Seqs!$A:$B,2,0),AE468,1),"")</f>
        <v>Y</v>
      </c>
      <c r="AE468" s="3">
        <v>290</v>
      </c>
      <c r="AF468" s="3" t="str">
        <f>IFERROR(MID(VLOOKUP($B468,Seqs!$A:$B,2,0),AG468,1),"")</f>
        <v>C</v>
      </c>
      <c r="AG468" s="3">
        <v>296</v>
      </c>
      <c r="AH468" s="3" t="str">
        <f>IFERROR(MID(VLOOKUP($B468,Seqs!$A:$B,2,0),AI468,1),"")</f>
        <v>D</v>
      </c>
      <c r="AI468" s="3">
        <v>298</v>
      </c>
      <c r="AJ468" s="3" t="str">
        <f>IFERROR(MID(VLOOKUP($B468,Seqs!$A:$B,2,0),AK468,1),"")</f>
        <v>S</v>
      </c>
      <c r="AK468" s="3">
        <v>302</v>
      </c>
      <c r="AL468" s="3" t="str">
        <f>IFERROR(MID(VLOOKUP($B468,Seqs!$A:$B,2,0),AM468,1),"")</f>
        <v>Q</v>
      </c>
      <c r="AM468" s="3">
        <v>336</v>
      </c>
      <c r="AN468" s="3" t="str">
        <f>IFERROR(MID(VLOOKUP($B468,Seqs!$A:$B,2,0),AO468,1),"")</f>
        <v>I</v>
      </c>
      <c r="AO468" s="3">
        <v>347</v>
      </c>
      <c r="AP468" s="3" t="str">
        <f>IFERROR(MID(VLOOKUP($B468,Seqs!$A:$B,2,0),AQ468,1),"")</f>
        <v>V</v>
      </c>
      <c r="AQ468" s="3">
        <v>368</v>
      </c>
      <c r="AR468" s="3" t="str">
        <f>IFERROR(MID(VLOOKUP($B468,Seqs!$A:$B,2,0),AS468,1),"")</f>
        <v>S</v>
      </c>
      <c r="AS468" s="3">
        <v>377</v>
      </c>
      <c r="AT468" s="3" t="str">
        <f>IFERROR(MID(VLOOKUP($B468,Seqs!$A:$B,2,0),AU468,1),"")</f>
        <v>F</v>
      </c>
      <c r="AU468" s="3">
        <v>402</v>
      </c>
      <c r="AV468" s="3" t="str">
        <f>IFERROR(MID(VLOOKUP($B468,Seqs!$A:$B,2,0),AW468,1),"")</f>
        <v>G</v>
      </c>
      <c r="AW468" s="3">
        <v>405</v>
      </c>
      <c r="AX468" s="3" t="str">
        <f>IFERROR(MID(VLOOKUP($B468,Seqs!$A:$B,2,0),AY468,1),"")</f>
        <v>K</v>
      </c>
      <c r="AY468" s="3">
        <v>414</v>
      </c>
      <c r="AZ468" s="77" t="str">
        <f>VLOOKUP(B468,Classification!A:D,2,0)</f>
        <v>B1</v>
      </c>
      <c r="BA468" s="94" t="str">
        <f>VLOOKUP(B468,Classification!A:D,4,0)</f>
        <v>VIPandPACAP</v>
      </c>
      <c r="BB468" s="27" t="b">
        <f t="shared" ref="BB468" si="4557">AND(E468&lt;G468,OR(G468&lt;I468,I468="-"),OR(I468&lt;K468,I468="-"),OR(K468&lt;M468,K468="-"),M468&lt;O468,OR(O468&lt;Q468,Q468="-"),OR(Q468&lt;S468,Q468="-"),OR(S468&lt;U468,S468="-"),U468&lt;W468,OR(W468&lt;Y468,Y468="-"),OR(Y468&lt;AA468,Y468="-"),OR(AA468&lt;AC468,AA468="-"),AC468&lt;AE468,OR(AE468&lt;AG468,AG468="-"),OR(AG468&lt;AI468,AG468="-"),OR(AI468&lt;AK468,AI468="-"),AK468&lt;AM468,AM468&lt;AO468,AO468&lt;AQ468,AQ468&lt;AS468,AS468&lt;AU468,OR(AU468&lt;AW468,AW468="-"),OR(AW468&lt;AY468,AW468="-"))</f>
        <v>1</v>
      </c>
      <c r="BC468" s="23">
        <f t="shared" ref="BC468" si="4558">_xlfn.AGGREGATE(9,6,CH468:CS468)-_xlfn.AGGREGATE(9,6,BV468:CG468)+12</f>
        <v>222</v>
      </c>
      <c r="BD468" s="4" t="s">
        <v>23</v>
      </c>
      <c r="BE468" s="3" t="s">
        <v>1287</v>
      </c>
      <c r="BF468" s="118">
        <v>3.9</v>
      </c>
      <c r="BG468" s="49" t="s">
        <v>1418</v>
      </c>
      <c r="BH468" s="49" t="s">
        <v>1418</v>
      </c>
      <c r="BI468" s="1"/>
      <c r="BJ468" s="70" t="s">
        <v>1283</v>
      </c>
      <c r="BK468" s="57" t="s">
        <v>1283</v>
      </c>
      <c r="BL468" s="57" t="s">
        <v>1283</v>
      </c>
      <c r="BM468" s="57" t="s">
        <v>1283</v>
      </c>
      <c r="BN468" s="57" t="s">
        <v>1283</v>
      </c>
      <c r="BO468" s="57" t="s">
        <v>1283</v>
      </c>
      <c r="BP468" s="57" t="s">
        <v>1283</v>
      </c>
      <c r="BQ468" s="57" t="s">
        <v>1283</v>
      </c>
      <c r="BR468" s="57" t="s">
        <v>1283</v>
      </c>
      <c r="BS468" s="57" t="s">
        <v>1283</v>
      </c>
      <c r="BT468" s="57" t="s">
        <v>1283</v>
      </c>
      <c r="BU468" s="57" t="s">
        <v>1283</v>
      </c>
      <c r="BV468" s="70">
        <f t="shared" ref="BV468" si="4559">E468</f>
        <v>146</v>
      </c>
      <c r="BW468" s="71" t="str">
        <f t="shared" ref="BW468" si="4560">I468</f>
        <v>-</v>
      </c>
      <c r="BX468" s="72">
        <f t="shared" ref="BX468" si="4561">M468</f>
        <v>184</v>
      </c>
      <c r="BY468" s="71" t="str">
        <f t="shared" ref="BY468" si="4562">Q468</f>
        <v>-</v>
      </c>
      <c r="BZ468" s="72">
        <f t="shared" ref="BZ468" si="4563">U468</f>
        <v>223</v>
      </c>
      <c r="CA468" s="71" t="str">
        <f t="shared" ref="CA468" si="4564">Y468</f>
        <v>-</v>
      </c>
      <c r="CB468" s="72">
        <f t="shared" ref="CB468" si="4565">AC468</f>
        <v>262</v>
      </c>
      <c r="CC468" s="71">
        <f t="shared" ref="CC468" si="4566">AG468</f>
        <v>296</v>
      </c>
      <c r="CD468" s="72">
        <f t="shared" ref="CD468" si="4567">AK468</f>
        <v>302</v>
      </c>
      <c r="CE468" s="71">
        <f t="shared" ref="CE468" si="4568">AO468</f>
        <v>347</v>
      </c>
      <c r="CF468" s="72">
        <f t="shared" ref="CF468" si="4569">AS468</f>
        <v>377</v>
      </c>
      <c r="CG468" s="71">
        <f t="shared" ref="CG468" si="4570">AW468</f>
        <v>405</v>
      </c>
      <c r="CH468" s="70">
        <f t="shared" ref="CH468" si="4571">G468</f>
        <v>176</v>
      </c>
      <c r="CI468" s="71" t="str">
        <f t="shared" ref="CI468" si="4572">K468</f>
        <v>-</v>
      </c>
      <c r="CJ468" s="72">
        <f t="shared" ref="CJ468" si="4573">O468</f>
        <v>211</v>
      </c>
      <c r="CK468" s="72" t="str">
        <f t="shared" ref="CK468" si="4574">S468</f>
        <v>-</v>
      </c>
      <c r="CL468" s="72">
        <f t="shared" ref="CL468" si="4575">W468</f>
        <v>257</v>
      </c>
      <c r="CM468" s="72" t="str">
        <f t="shared" ref="CM468" si="4576">AA468</f>
        <v>-</v>
      </c>
      <c r="CN468" s="72">
        <f t="shared" ref="CN468" si="4577">AE468</f>
        <v>290</v>
      </c>
      <c r="CO468" s="72">
        <f t="shared" ref="CO468" si="4578">AI468</f>
        <v>298</v>
      </c>
      <c r="CP468" s="72">
        <f t="shared" ref="CP468" si="4579">AM468</f>
        <v>336</v>
      </c>
      <c r="CQ468" s="72">
        <f t="shared" ref="CQ468" si="4580">AQ468</f>
        <v>368</v>
      </c>
      <c r="CR468" s="72">
        <f t="shared" ref="CR468" si="4581">AU468</f>
        <v>402</v>
      </c>
      <c r="CS468" s="72">
        <f t="shared" ref="CS468" si="4582">AY468</f>
        <v>414</v>
      </c>
      <c r="CT468" s="23" t="e">
        <f t="shared" ref="CT468" si="4583">M468-K468</f>
        <v>#VALUE!</v>
      </c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</row>
    <row r="469" spans="1:1029" s="12" customFormat="1" x14ac:dyDescent="0.2">
      <c r="A469" s="9" t="str">
        <f t="shared" ref="A469" si="4584">CONCATENATE(B469,"_",C469)</f>
        <v>pacr_human_6M1H</v>
      </c>
      <c r="B469" s="9" t="s">
        <v>407</v>
      </c>
      <c r="C469" s="9" t="s">
        <v>1705</v>
      </c>
      <c r="D469" s="9" t="str">
        <f>IFERROR(MID(VLOOKUP($B469,Seqs!$A:$B,2,0),E469,1),"")</f>
        <v>Q</v>
      </c>
      <c r="E469" s="9">
        <v>146</v>
      </c>
      <c r="F469" s="9" t="str">
        <f>IFERROR(MID(VLOOKUP($B469,Seqs!$A:$B,2,0),G469,1),"")</f>
        <v>R</v>
      </c>
      <c r="G469" s="9">
        <v>177</v>
      </c>
      <c r="H469" s="9" t="str">
        <f>IFERROR(MID(VLOOKUP($B469,Seqs!$A:$B,2,0),I469,1),"")</f>
        <v/>
      </c>
      <c r="I469" s="109" t="s">
        <v>23</v>
      </c>
      <c r="J469" s="9" t="str">
        <f>IFERROR(MID(VLOOKUP($B469,Seqs!$A:$B,2,0),K469,1),"")</f>
        <v/>
      </c>
      <c r="K469" s="109" t="s">
        <v>23</v>
      </c>
      <c r="L469" s="9" t="str">
        <f>IFERROR(MID(VLOOKUP($B469,Seqs!$A:$B,2,0),M469,1),"")</f>
        <v>C</v>
      </c>
      <c r="M469" s="109">
        <v>183</v>
      </c>
      <c r="N469" s="9" t="str">
        <f>IFERROR(MID(VLOOKUP($B469,Seqs!$A:$B,2,0),O469,1),"")</f>
        <v>N</v>
      </c>
      <c r="O469" s="9">
        <v>217</v>
      </c>
      <c r="P469" s="9" t="str">
        <f>IFERROR(MID(VLOOKUP($B469,Seqs!$A:$B,2,0),Q469,1),"")</f>
        <v/>
      </c>
      <c r="Q469" s="9" t="s">
        <v>23</v>
      </c>
      <c r="R469" s="9" t="str">
        <f>IFERROR(MID(VLOOKUP($B469,Seqs!$A:$B,2,0),S469,1),"")</f>
        <v/>
      </c>
      <c r="S469" s="9" t="s">
        <v>23</v>
      </c>
      <c r="T469" s="9" t="str">
        <f>IFERROR(MID(VLOOKUP($B469,Seqs!$A:$B,2,0),U469,1),"")</f>
        <v>V</v>
      </c>
      <c r="U469" s="9">
        <v>224</v>
      </c>
      <c r="V469" s="9" t="str">
        <f>IFERROR(MID(VLOOKUP($B469,Seqs!$A:$B,2,0),W469,1),"")</f>
        <v>L</v>
      </c>
      <c r="W469" s="9">
        <v>255</v>
      </c>
      <c r="X469" s="9" t="str">
        <f>IFERROR(MID(VLOOKUP($B469,Seqs!$A:$B,2,0),Y469,1),"")</f>
        <v/>
      </c>
      <c r="Y469" s="9" t="s">
        <v>23</v>
      </c>
      <c r="Z469" s="9" t="str">
        <f>IFERROR(MID(VLOOKUP($B469,Seqs!$A:$B,2,0),AA469,1),"")</f>
        <v/>
      </c>
      <c r="AA469" s="9" t="s">
        <v>23</v>
      </c>
      <c r="AB469" s="9" t="str">
        <f>IFERROR(MID(VLOOKUP($B469,Seqs!$A:$B,2,0),AC469,1),"")</f>
        <v>P</v>
      </c>
      <c r="AC469" s="9">
        <v>261</v>
      </c>
      <c r="AD469" s="9" t="str">
        <f>IFERROR(MID(VLOOKUP($B469,Seqs!$A:$B,2,0),AE469,1),"")</f>
        <v>L</v>
      </c>
      <c r="AE469" s="9">
        <v>289</v>
      </c>
      <c r="AF469" s="9" t="str">
        <f>IFERROR(MID(VLOOKUP($B469,Seqs!$A:$B,2,0),AG469,1),"")</f>
        <v>C</v>
      </c>
      <c r="AG469" s="9">
        <v>296</v>
      </c>
      <c r="AH469" s="9" t="str">
        <f>IFERROR(MID(VLOOKUP($B469,Seqs!$A:$B,2,0),AI469,1),"")</f>
        <v>D</v>
      </c>
      <c r="AI469" s="9">
        <v>298</v>
      </c>
      <c r="AJ469" s="9" t="str">
        <f>IFERROR(MID(VLOOKUP($B469,Seqs!$A:$B,2,0),AK469,1),"")</f>
        <v>A</v>
      </c>
      <c r="AK469" s="9">
        <v>304</v>
      </c>
      <c r="AL469" s="9" t="str">
        <f>IFERROR(MID(VLOOKUP($B469,Seqs!$A:$B,2,0),AM469,1),"")</f>
        <v>Q</v>
      </c>
      <c r="AM469" s="9">
        <v>336</v>
      </c>
      <c r="AN469" s="9" t="str">
        <f>IFERROR(MID(VLOOKUP($B469,Seqs!$A:$B,2,0),AO469,1),"")</f>
        <v>I</v>
      </c>
      <c r="AO469" s="9">
        <v>347</v>
      </c>
      <c r="AP469" s="9" t="str">
        <f>IFERROR(MID(VLOOKUP($B469,Seqs!$A:$B,2,0),AQ469,1),"")</f>
        <v>S</v>
      </c>
      <c r="AQ469" s="9">
        <v>372</v>
      </c>
      <c r="AR469" s="9" t="str">
        <f>IFERROR(MID(VLOOKUP($B469,Seqs!$A:$B,2,0),AS469,1),"")</f>
        <v>L</v>
      </c>
      <c r="AS469" s="9">
        <v>382</v>
      </c>
      <c r="AT469" s="9" t="str">
        <f>IFERROR(MID(VLOOKUP($B469,Seqs!$A:$B,2,0),AU469,1),"")</f>
        <v>Y</v>
      </c>
      <c r="AU469" s="9">
        <v>400</v>
      </c>
      <c r="AV469" s="9" t="str">
        <f>IFERROR(MID(VLOOKUP($B469,Seqs!$A:$B,2,0),AW469,1),"")</f>
        <v>N</v>
      </c>
      <c r="AW469" s="9">
        <v>404</v>
      </c>
      <c r="AX469" s="9" t="str">
        <f>IFERROR(MID(VLOOKUP($B469,Seqs!$A:$B,2,0),AY469,1),"")</f>
        <v>W</v>
      </c>
      <c r="AY469" s="9">
        <v>418</v>
      </c>
      <c r="AZ469" s="110" t="str">
        <f>VLOOKUP(B469,Classification!A:D,2,0)</f>
        <v>B1</v>
      </c>
      <c r="BA469" s="98" t="str">
        <f>VLOOKUP(B469,Classification!A:D,4,0)</f>
        <v>VIPandPACAP</v>
      </c>
      <c r="BB469" s="36" t="b">
        <f t="shared" ref="BB469" si="4585">AND(E469&lt;G469,OR(G469&lt;I469,I469="-"),OR(I469&lt;K469,I469="-"),OR(K469&lt;M469,K469="-"),M469&lt;O469,OR(O469&lt;Q469,Q469="-"),OR(Q469&lt;S469,Q469="-"),OR(S469&lt;U469,S469="-"),U469&lt;W469,OR(W469&lt;Y469,Y469="-"),OR(Y469&lt;AA469,Y469="-"),OR(AA469&lt;AC469,AA469="-"),AC469&lt;AE469,OR(AE469&lt;AG469,AG469="-"),OR(AG469&lt;AI469,AG469="-"),OR(AI469&lt;AK469,AI469="-"),AK469&lt;AM469,AM469&lt;AO469,AO469&lt;AQ469,AQ469&lt;AS469,AS469&lt;AU469,OR(AU469&lt;AW469,AW469="-"),OR(AW469&lt;AY469,AW469="-"))</f>
        <v>1</v>
      </c>
      <c r="BC469" s="109">
        <f t="shared" ref="BC469" si="4586">_xlfn.AGGREGATE(9,6,CH469:CS469)-_xlfn.AGGREGATE(9,6,BV469:CG469)+12</f>
        <v>227</v>
      </c>
      <c r="BD469" s="11" t="s">
        <v>23</v>
      </c>
      <c r="BE469" s="9" t="s">
        <v>1287</v>
      </c>
      <c r="BF469" s="119">
        <v>3.6</v>
      </c>
      <c r="BG469" s="51" t="s">
        <v>1</v>
      </c>
      <c r="BH469" s="51" t="s">
        <v>1</v>
      </c>
      <c r="BJ469" s="111" t="s">
        <v>1283</v>
      </c>
      <c r="BK469" s="112" t="s">
        <v>1283</v>
      </c>
      <c r="BL469" s="112" t="s">
        <v>1283</v>
      </c>
      <c r="BM469" s="112" t="s">
        <v>1283</v>
      </c>
      <c r="BN469" s="112" t="s">
        <v>1283</v>
      </c>
      <c r="BO469" s="112" t="s">
        <v>1283</v>
      </c>
      <c r="BP469" s="112" t="s">
        <v>1283</v>
      </c>
      <c r="BQ469" s="112" t="s">
        <v>1283</v>
      </c>
      <c r="BR469" s="112" t="s">
        <v>1283</v>
      </c>
      <c r="BS469" s="112" t="s">
        <v>1283</v>
      </c>
      <c r="BT469" s="112" t="s">
        <v>1283</v>
      </c>
      <c r="BU469" s="112" t="s">
        <v>1283</v>
      </c>
      <c r="BV469" s="111">
        <f t="shared" ref="BV469" si="4587">E469</f>
        <v>146</v>
      </c>
      <c r="BW469" s="113" t="str">
        <f t="shared" ref="BW469" si="4588">I469</f>
        <v>-</v>
      </c>
      <c r="BX469" s="114">
        <f t="shared" ref="BX469" si="4589">M469</f>
        <v>183</v>
      </c>
      <c r="BY469" s="113" t="str">
        <f t="shared" ref="BY469" si="4590">Q469</f>
        <v>-</v>
      </c>
      <c r="BZ469" s="114">
        <f t="shared" ref="BZ469" si="4591">U469</f>
        <v>224</v>
      </c>
      <c r="CA469" s="113" t="str">
        <f t="shared" ref="CA469" si="4592">Y469</f>
        <v>-</v>
      </c>
      <c r="CB469" s="114">
        <f t="shared" ref="CB469" si="4593">AC469</f>
        <v>261</v>
      </c>
      <c r="CC469" s="113">
        <f t="shared" ref="CC469" si="4594">AG469</f>
        <v>296</v>
      </c>
      <c r="CD469" s="114">
        <f t="shared" ref="CD469" si="4595">AK469</f>
        <v>304</v>
      </c>
      <c r="CE469" s="113">
        <f t="shared" ref="CE469" si="4596">AO469</f>
        <v>347</v>
      </c>
      <c r="CF469" s="114">
        <f t="shared" ref="CF469" si="4597">AS469</f>
        <v>382</v>
      </c>
      <c r="CG469" s="113">
        <f t="shared" ref="CG469" si="4598">AW469</f>
        <v>404</v>
      </c>
      <c r="CH469" s="111">
        <f t="shared" ref="CH469" si="4599">G469</f>
        <v>177</v>
      </c>
      <c r="CI469" s="113" t="str">
        <f t="shared" ref="CI469" si="4600">K469</f>
        <v>-</v>
      </c>
      <c r="CJ469" s="114">
        <f t="shared" ref="CJ469" si="4601">O469</f>
        <v>217</v>
      </c>
      <c r="CK469" s="114" t="str">
        <f t="shared" ref="CK469" si="4602">S469</f>
        <v>-</v>
      </c>
      <c r="CL469" s="114">
        <f t="shared" ref="CL469" si="4603">W469</f>
        <v>255</v>
      </c>
      <c r="CM469" s="114" t="str">
        <f t="shared" ref="CM469" si="4604">AA469</f>
        <v>-</v>
      </c>
      <c r="CN469" s="114">
        <f t="shared" ref="CN469" si="4605">AE469</f>
        <v>289</v>
      </c>
      <c r="CO469" s="114">
        <f t="shared" ref="CO469" si="4606">AI469</f>
        <v>298</v>
      </c>
      <c r="CP469" s="114">
        <f t="shared" ref="CP469" si="4607">AM469</f>
        <v>336</v>
      </c>
      <c r="CQ469" s="114">
        <f t="shared" ref="CQ469" si="4608">AQ469</f>
        <v>372</v>
      </c>
      <c r="CR469" s="114">
        <f t="shared" ref="CR469" si="4609">AU469</f>
        <v>400</v>
      </c>
      <c r="CS469" s="114">
        <f t="shared" ref="CS469" si="4610">AY469</f>
        <v>418</v>
      </c>
      <c r="CT469" s="109" t="e">
        <f t="shared" ref="CT469" si="4611">M469-K469</f>
        <v>#VALUE!</v>
      </c>
    </row>
    <row r="470" spans="1:1029" s="12" customFormat="1" x14ac:dyDescent="0.2">
      <c r="A470" s="9" t="str">
        <f t="shared" ref="A470" si="4612">CONCATENATE(B470,"_",C470)</f>
        <v>pacr_human_6M1I</v>
      </c>
      <c r="B470" s="9" t="s">
        <v>407</v>
      </c>
      <c r="C470" s="9" t="s">
        <v>1706</v>
      </c>
      <c r="D470" s="9" t="str">
        <f>IFERROR(MID(VLOOKUP($B470,Seqs!$A:$B,2,0),E470,1),"")</f>
        <v>Q</v>
      </c>
      <c r="E470" s="9">
        <v>146</v>
      </c>
      <c r="F470" s="9" t="str">
        <f>IFERROR(MID(VLOOKUP($B470,Seqs!$A:$B,2,0),G470,1),"")</f>
        <v>F</v>
      </c>
      <c r="G470" s="9">
        <v>178</v>
      </c>
      <c r="H470" s="9" t="str">
        <f>IFERROR(MID(VLOOKUP($B470,Seqs!$A:$B,2,0),I470,1),"")</f>
        <v/>
      </c>
      <c r="I470" s="109" t="s">
        <v>23</v>
      </c>
      <c r="J470" s="9" t="str">
        <f>IFERROR(MID(VLOOKUP($B470,Seqs!$A:$B,2,0),K470,1),"")</f>
        <v/>
      </c>
      <c r="K470" s="109" t="s">
        <v>23</v>
      </c>
      <c r="L470" s="9" t="str">
        <f>IFERROR(MID(VLOOKUP($B470,Seqs!$A:$B,2,0),M470,1),"")</f>
        <v>C</v>
      </c>
      <c r="M470" s="109">
        <v>183</v>
      </c>
      <c r="N470" s="9" t="str">
        <f>IFERROR(MID(VLOOKUP($B470,Seqs!$A:$B,2,0),O470,1),"")</f>
        <v>L</v>
      </c>
      <c r="O470" s="9">
        <v>210</v>
      </c>
      <c r="P470" s="9" t="str">
        <f>IFERROR(MID(VLOOKUP($B470,Seqs!$A:$B,2,0),Q470,1),"")</f>
        <v/>
      </c>
      <c r="Q470" s="9" t="s">
        <v>23</v>
      </c>
      <c r="R470" s="9" t="str">
        <f>IFERROR(MID(VLOOKUP($B470,Seqs!$A:$B,2,0),S470,1),"")</f>
        <v/>
      </c>
      <c r="S470" s="9" t="s">
        <v>23</v>
      </c>
      <c r="T470" s="9" t="str">
        <f>IFERROR(MID(VLOOKUP($B470,Seqs!$A:$B,2,0),U470,1),"")</f>
        <v>V</v>
      </c>
      <c r="U470" s="9">
        <v>224</v>
      </c>
      <c r="V470" s="9" t="str">
        <f>IFERROR(MID(VLOOKUP($B470,Seqs!$A:$B,2,0),W470,1),"")</f>
        <v>L</v>
      </c>
      <c r="W470" s="9">
        <v>255</v>
      </c>
      <c r="X470" s="9" t="str">
        <f>IFERROR(MID(VLOOKUP($B470,Seqs!$A:$B,2,0),Y470,1),"")</f>
        <v/>
      </c>
      <c r="Y470" s="9" t="s">
        <v>23</v>
      </c>
      <c r="Z470" s="9" t="str">
        <f>IFERROR(MID(VLOOKUP($B470,Seqs!$A:$B,2,0),AA470,1),"")</f>
        <v/>
      </c>
      <c r="AA470" s="9" t="s">
        <v>23</v>
      </c>
      <c r="AB470" s="9" t="str">
        <f>IFERROR(MID(VLOOKUP($B470,Seqs!$A:$B,2,0),AC470,1),"")</f>
        <v>E</v>
      </c>
      <c r="AC470" s="9">
        <v>262</v>
      </c>
      <c r="AD470" s="9" t="str">
        <f>IFERROR(MID(VLOOKUP($B470,Seqs!$A:$B,2,0),AE470,1),"")</f>
        <v>L</v>
      </c>
      <c r="AE470" s="9">
        <v>289</v>
      </c>
      <c r="AF470" s="9" t="str">
        <f>IFERROR(MID(VLOOKUP($B470,Seqs!$A:$B,2,0),AG470,1),"")</f>
        <v>C</v>
      </c>
      <c r="AG470" s="9">
        <v>296</v>
      </c>
      <c r="AH470" s="9" t="str">
        <f>IFERROR(MID(VLOOKUP($B470,Seqs!$A:$B,2,0),AI470,1),"")</f>
        <v>D</v>
      </c>
      <c r="AI470" s="9">
        <v>298</v>
      </c>
      <c r="AJ470" s="9" t="str">
        <f>IFERROR(MID(VLOOKUP($B470,Seqs!$A:$B,2,0),AK470,1),"")</f>
        <v>W</v>
      </c>
      <c r="AK470" s="9">
        <v>306</v>
      </c>
      <c r="AL470" s="9" t="str">
        <f>IFERROR(MID(VLOOKUP($B470,Seqs!$A:$B,2,0),AM470,1),"")</f>
        <v>Q</v>
      </c>
      <c r="AM470" s="9">
        <v>336</v>
      </c>
      <c r="AN470" s="9" t="str">
        <f>IFERROR(MID(VLOOKUP($B470,Seqs!$A:$B,2,0),AO470,1),"")</f>
        <v>S</v>
      </c>
      <c r="AO470" s="9">
        <v>346</v>
      </c>
      <c r="AP470" s="9" t="str">
        <f>IFERROR(MID(VLOOKUP($B470,Seqs!$A:$B,2,0),AQ470,1),"")</f>
        <v>A</v>
      </c>
      <c r="AQ470" s="9">
        <v>370</v>
      </c>
      <c r="AR470" s="9" t="str">
        <f>IFERROR(MID(VLOOKUP($B470,Seqs!$A:$B,2,0),AS470,1),"")</f>
        <v>E</v>
      </c>
      <c r="AS470" s="9">
        <v>380</v>
      </c>
      <c r="AT470" s="9" t="str">
        <f>IFERROR(MID(VLOOKUP($B470,Seqs!$A:$B,2,0),AU470,1),"")</f>
        <v>Y</v>
      </c>
      <c r="AU470" s="9">
        <v>400</v>
      </c>
      <c r="AV470" s="9" t="str">
        <f>IFERROR(MID(VLOOKUP($B470,Seqs!$A:$B,2,0),AW470,1),"")</f>
        <v>V</v>
      </c>
      <c r="AW470" s="9">
        <v>407</v>
      </c>
      <c r="AX470" s="9" t="str">
        <f>IFERROR(MID(VLOOKUP($B470,Seqs!$A:$B,2,0),AY470,1),"")</f>
        <v>K</v>
      </c>
      <c r="AY470" s="9">
        <v>419</v>
      </c>
      <c r="AZ470" s="110" t="str">
        <f>VLOOKUP(B470,Classification!A:D,2,0)</f>
        <v>B1</v>
      </c>
      <c r="BA470" s="98" t="str">
        <f>VLOOKUP(B470,Classification!A:D,4,0)</f>
        <v>VIPandPACAP</v>
      </c>
      <c r="BB470" s="36" t="b">
        <f t="shared" ref="BB470" si="4613">AND(E470&lt;G470,OR(G470&lt;I470,I470="-"),OR(I470&lt;K470,I470="-"),OR(K470&lt;M470,K470="-"),M470&lt;O470,OR(O470&lt;Q470,Q470="-"),OR(Q470&lt;S470,Q470="-"),OR(S470&lt;U470,S470="-"),U470&lt;W470,OR(W470&lt;Y470,Y470="-"),OR(Y470&lt;AA470,Y470="-"),OR(AA470&lt;AC470,AA470="-"),AC470&lt;AE470,OR(AE470&lt;AG470,AG470="-"),OR(AG470&lt;AI470,AG470="-"),OR(AI470&lt;AK470,AI470="-"),AK470&lt;AM470,AM470&lt;AO470,AO470&lt;AQ470,AQ470&lt;AS470,AS470&lt;AU470,OR(AU470&lt;AW470,AW470="-"),OR(AW470&lt;AY470,AW470="-"))</f>
        <v>1</v>
      </c>
      <c r="BC470" s="109">
        <f t="shared" ref="BC470" si="4614">_xlfn.AGGREGATE(9,6,CH470:CS470)-_xlfn.AGGREGATE(9,6,BV470:CG470)+12</f>
        <v>217</v>
      </c>
      <c r="BD470" s="11" t="s">
        <v>23</v>
      </c>
      <c r="BE470" s="9" t="s">
        <v>1287</v>
      </c>
      <c r="BF470" s="119">
        <v>3.5</v>
      </c>
      <c r="BG470" s="51" t="s">
        <v>1</v>
      </c>
      <c r="BH470" s="51" t="s">
        <v>1</v>
      </c>
      <c r="BJ470" s="111" t="s">
        <v>1283</v>
      </c>
      <c r="BK470" s="112" t="s">
        <v>1283</v>
      </c>
      <c r="BL470" s="112" t="s">
        <v>1283</v>
      </c>
      <c r="BM470" s="112" t="s">
        <v>1283</v>
      </c>
      <c r="BN470" s="112" t="s">
        <v>1283</v>
      </c>
      <c r="BO470" s="112" t="s">
        <v>1283</v>
      </c>
      <c r="BP470" s="112" t="s">
        <v>1283</v>
      </c>
      <c r="BQ470" s="112" t="s">
        <v>1283</v>
      </c>
      <c r="BR470" s="112" t="s">
        <v>1283</v>
      </c>
      <c r="BS470" s="112" t="s">
        <v>1283</v>
      </c>
      <c r="BT470" s="112" t="s">
        <v>1283</v>
      </c>
      <c r="BU470" s="112" t="s">
        <v>1283</v>
      </c>
      <c r="BV470" s="111">
        <f t="shared" ref="BV470" si="4615">E470</f>
        <v>146</v>
      </c>
      <c r="BW470" s="113" t="str">
        <f t="shared" ref="BW470" si="4616">I470</f>
        <v>-</v>
      </c>
      <c r="BX470" s="114">
        <f t="shared" ref="BX470" si="4617">M470</f>
        <v>183</v>
      </c>
      <c r="BY470" s="113" t="str">
        <f t="shared" ref="BY470" si="4618">Q470</f>
        <v>-</v>
      </c>
      <c r="BZ470" s="114">
        <f t="shared" ref="BZ470" si="4619">U470</f>
        <v>224</v>
      </c>
      <c r="CA470" s="113" t="str">
        <f t="shared" ref="CA470" si="4620">Y470</f>
        <v>-</v>
      </c>
      <c r="CB470" s="114">
        <f t="shared" ref="CB470" si="4621">AC470</f>
        <v>262</v>
      </c>
      <c r="CC470" s="113">
        <f t="shared" ref="CC470" si="4622">AG470</f>
        <v>296</v>
      </c>
      <c r="CD470" s="114">
        <f t="shared" ref="CD470" si="4623">AK470</f>
        <v>306</v>
      </c>
      <c r="CE470" s="113">
        <f t="shared" ref="CE470" si="4624">AO470</f>
        <v>346</v>
      </c>
      <c r="CF470" s="114">
        <f t="shared" ref="CF470" si="4625">AS470</f>
        <v>380</v>
      </c>
      <c r="CG470" s="113">
        <f t="shared" ref="CG470" si="4626">AW470</f>
        <v>407</v>
      </c>
      <c r="CH470" s="111">
        <f t="shared" ref="CH470" si="4627">G470</f>
        <v>178</v>
      </c>
      <c r="CI470" s="113" t="str">
        <f t="shared" ref="CI470" si="4628">K470</f>
        <v>-</v>
      </c>
      <c r="CJ470" s="114">
        <f t="shared" ref="CJ470" si="4629">O470</f>
        <v>210</v>
      </c>
      <c r="CK470" s="114" t="str">
        <f t="shared" ref="CK470" si="4630">S470</f>
        <v>-</v>
      </c>
      <c r="CL470" s="114">
        <f t="shared" ref="CL470" si="4631">W470</f>
        <v>255</v>
      </c>
      <c r="CM470" s="114" t="str">
        <f t="shared" ref="CM470" si="4632">AA470</f>
        <v>-</v>
      </c>
      <c r="CN470" s="114">
        <f t="shared" ref="CN470" si="4633">AE470</f>
        <v>289</v>
      </c>
      <c r="CO470" s="114">
        <f t="shared" ref="CO470" si="4634">AI470</f>
        <v>298</v>
      </c>
      <c r="CP470" s="114">
        <f t="shared" ref="CP470" si="4635">AM470</f>
        <v>336</v>
      </c>
      <c r="CQ470" s="114">
        <f t="shared" ref="CQ470" si="4636">AQ470</f>
        <v>370</v>
      </c>
      <c r="CR470" s="114">
        <f t="shared" ref="CR470" si="4637">AU470</f>
        <v>400</v>
      </c>
      <c r="CS470" s="114">
        <f t="shared" ref="CS470" si="4638">AY470</f>
        <v>419</v>
      </c>
      <c r="CT470" s="109" t="e">
        <f t="shared" ref="CT470" si="4639">M470-K470</f>
        <v>#VALUE!</v>
      </c>
    </row>
    <row r="471" spans="1:1029" x14ac:dyDescent="0.2">
      <c r="A471" s="3" t="str">
        <f t="shared" ref="A471" si="4640">CONCATENATE(B471,"_",C471)</f>
        <v>pth1r_human__wt</v>
      </c>
      <c r="B471" s="3" t="s">
        <v>408</v>
      </c>
      <c r="C471" s="3" t="s">
        <v>100</v>
      </c>
      <c r="D471" s="3" t="str">
        <f>IFERROR(MID(VLOOKUP($B471,Seqs!$A:$B,2,0),E471,1),"")</f>
        <v>F</v>
      </c>
      <c r="E471" s="105">
        <v>173</v>
      </c>
      <c r="F471" s="3" t="str">
        <f>IFERROR(MID(VLOOKUP($B471,Seqs!$A:$B,2,0),G471,1),"")</f>
        <v>F</v>
      </c>
      <c r="G471" s="3">
        <v>212</v>
      </c>
      <c r="H471" s="3" t="str">
        <f>IFERROR(MID(VLOOKUP($B471,Seqs!$A:$B,2,0),I471,1),"")</f>
        <v>R</v>
      </c>
      <c r="I471" s="23">
        <v>213</v>
      </c>
      <c r="J471" s="3" t="str">
        <f>IFERROR(MID(VLOOKUP($B471,Seqs!$A:$B,2,0),K471,1),"")</f>
        <v>H</v>
      </c>
      <c r="K471" s="23">
        <v>216</v>
      </c>
      <c r="L471" s="3" t="str">
        <f>IFERROR(MID(VLOOKUP($B471,Seqs!$A:$B,2,0),M471,1),"")</f>
        <v>C</v>
      </c>
      <c r="M471" s="23">
        <v>217</v>
      </c>
      <c r="N471" s="3" t="str">
        <f>IFERROR(MID(VLOOKUP($B471,Seqs!$A:$B,2,0),O471,1),"")</f>
        <v>T</v>
      </c>
      <c r="O471" s="3">
        <v>249</v>
      </c>
      <c r="P471" s="3" t="str">
        <f>IFERROR(MID(VLOOKUP($B471,Seqs!$A:$B,2,0),Q471,1),"")</f>
        <v/>
      </c>
      <c r="Q471" s="3" t="s">
        <v>23</v>
      </c>
      <c r="R471" s="3" t="str">
        <f>IFERROR(MID(VLOOKUP($B471,Seqs!$A:$B,2,0),S471,1),"")</f>
        <v/>
      </c>
      <c r="S471" s="3" t="s">
        <v>23</v>
      </c>
      <c r="T471" s="3" t="str">
        <f>IFERROR(MID(VLOOKUP($B471,Seqs!$A:$B,2,0),U471,1),"")</f>
        <v>G</v>
      </c>
      <c r="U471" s="3">
        <v>277</v>
      </c>
      <c r="V471" s="3" t="str">
        <f>IFERROR(MID(VLOOKUP($B471,Seqs!$A:$B,2,0),W471,1),"")</f>
        <v>M</v>
      </c>
      <c r="W471" s="3">
        <v>312</v>
      </c>
      <c r="X471" s="3" t="str">
        <f>IFERROR(MID(VLOOKUP($B471,Seqs!$A:$B,2,0),Y471,1),"")</f>
        <v/>
      </c>
      <c r="Y471" s="3" t="s">
        <v>23</v>
      </c>
      <c r="Z471" s="3" t="str">
        <f>IFERROR(MID(VLOOKUP($B471,Seqs!$A:$B,2,0),AA471,1),"")</f>
        <v/>
      </c>
      <c r="AA471" s="3" t="s">
        <v>23</v>
      </c>
      <c r="AB471" s="3" t="str">
        <f>IFERROR(MID(VLOOKUP($B471,Seqs!$A:$B,2,0),AC471,1),"")</f>
        <v>S</v>
      </c>
      <c r="AC471" s="3">
        <v>316</v>
      </c>
      <c r="AD471" s="3" t="str">
        <f>IFERROR(MID(VLOOKUP($B471,Seqs!$A:$B,2,0),AE471,1),"")</f>
        <v>A</v>
      </c>
      <c r="AE471" s="3">
        <v>347</v>
      </c>
      <c r="AF471" s="3" t="str">
        <f>IFERROR(MID(VLOOKUP($B471,Seqs!$A:$B,2,0),AG471,1),"")</f>
        <v>C</v>
      </c>
      <c r="AG471" s="3">
        <v>351</v>
      </c>
      <c r="AH471" s="3" t="str">
        <f>IFERROR(MID(VLOOKUP($B471,Seqs!$A:$B,2,0),AI471,1),"")</f>
        <v>D</v>
      </c>
      <c r="AI471" s="3">
        <v>353</v>
      </c>
      <c r="AJ471" s="3" t="str">
        <f>IFERROR(MID(VLOOKUP($B471,Seqs!$A:$B,2,0),AK471,1),"")</f>
        <v>G</v>
      </c>
      <c r="AK471" s="105">
        <v>357</v>
      </c>
      <c r="AL471" s="3" t="str">
        <f>IFERROR(MID(VLOOKUP($B471,Seqs!$A:$B,2,0),AM471,1),"")</f>
        <v>L</v>
      </c>
      <c r="AM471" s="3">
        <v>389</v>
      </c>
      <c r="AN471" s="3" t="str">
        <f>IFERROR(MID(VLOOKUP($B471,Seqs!$A:$B,2,0),AO471,1),"")</f>
        <v>D</v>
      </c>
      <c r="AO471" s="3">
        <v>398</v>
      </c>
      <c r="AP471" s="3" t="str">
        <f>IFERROR(MID(VLOOKUP($B471,Seqs!$A:$B,2,0),AQ471,1),"")</f>
        <v>T</v>
      </c>
      <c r="AQ471" s="3">
        <v>427</v>
      </c>
      <c r="AR471" s="3" t="str">
        <f>IFERROR(MID(VLOOKUP($B471,Seqs!$A:$B,2,0),AS471,1),"")</f>
        <v>G</v>
      </c>
      <c r="AS471" s="3">
        <v>434</v>
      </c>
      <c r="AT471" s="3" t="str">
        <f>IFERROR(MID(VLOOKUP($B471,Seqs!$A:$B,2,0),AU471,1),"")</f>
        <v>C</v>
      </c>
      <c r="AU471" s="3">
        <v>462</v>
      </c>
      <c r="AV471" s="3" t="str">
        <f>IFERROR(MID(VLOOKUP($B471,Seqs!$A:$B,2,0),AW471,1),"")</f>
        <v>N</v>
      </c>
      <c r="AW471" s="3">
        <v>463</v>
      </c>
      <c r="AX471" s="3" t="str">
        <f>IFERROR(MID(VLOOKUP($B471,Seqs!$A:$B,2,0),AY471,1),"")</f>
        <v>R</v>
      </c>
      <c r="AY471" s="3">
        <v>488</v>
      </c>
      <c r="AZ471" s="77" t="str">
        <f>VLOOKUP(B471,Classification!A:D,2,0)</f>
        <v>B1</v>
      </c>
      <c r="BA471" s="94" t="str">
        <f>VLOOKUP(B471,Classification!A:D,4,0)</f>
        <v>Parathyroidhormone</v>
      </c>
      <c r="BB471" s="27" t="b">
        <f t="shared" ref="BB471" si="4641">AND(E471&lt;G471,OR(G471&lt;I471,I471="-"),OR(I471&lt;K471,I471="-"),OR(K471&lt;M471,K471="-"),M471&lt;O471,OR(O471&lt;Q471,Q471="-"),OR(Q471&lt;S471,Q471="-"),OR(S471&lt;U471,S471="-"),U471&lt;W471,OR(W471&lt;Y471,Y471="-"),OR(Y471&lt;AA471,Y471="-"),OR(AA471&lt;AC471,AA471="-"),AC471&lt;AE471,OR(AE471&lt;AG471,AG471="-"),OR(AG471&lt;AI471,AG471="-"),OR(AI471&lt;AK471,AI471="-"),AK471&lt;AM471,AM471&lt;AO471,AO471&lt;AQ471,AQ471&lt;AS471,AS471&lt;AU471,OR(AU471&lt;AW471,AW471="-"),OR(AW471&lt;AY471,AW471="-"))</f>
        <v>1</v>
      </c>
      <c r="BC471" s="23">
        <f t="shared" ref="BC471" si="4642">_xlfn.AGGREGATE(9,6,CH471:CS471)-_xlfn.AGGREGATE(9,6,BV471:CG471)+12</f>
        <v>268</v>
      </c>
      <c r="BD471" s="4" t="s">
        <v>23</v>
      </c>
      <c r="BE471" s="3" t="s">
        <v>23</v>
      </c>
      <c r="BF471" s="118" t="s">
        <v>23</v>
      </c>
      <c r="BG471" s="49" t="s">
        <v>23</v>
      </c>
      <c r="BH471" s="49" t="s">
        <v>23</v>
      </c>
      <c r="BI471" s="1"/>
      <c r="BJ471" s="70" t="s">
        <v>1283</v>
      </c>
      <c r="BK471" s="57" t="s">
        <v>1283</v>
      </c>
      <c r="BL471" s="57" t="s">
        <v>1283</v>
      </c>
      <c r="BM471" s="57" t="s">
        <v>1283</v>
      </c>
      <c r="BN471" s="57" t="s">
        <v>1283</v>
      </c>
      <c r="BO471" s="57" t="s">
        <v>1283</v>
      </c>
      <c r="BP471" s="57" t="s">
        <v>1283</v>
      </c>
      <c r="BQ471" s="57" t="s">
        <v>1283</v>
      </c>
      <c r="BR471" s="57" t="s">
        <v>1283</v>
      </c>
      <c r="BS471" s="57" t="s">
        <v>1283</v>
      </c>
      <c r="BT471" s="57" t="s">
        <v>1283</v>
      </c>
      <c r="BU471" s="57" t="s">
        <v>1283</v>
      </c>
      <c r="BV471" s="70">
        <f t="shared" ref="BV471" si="4643">E471</f>
        <v>173</v>
      </c>
      <c r="BW471" s="71">
        <f t="shared" ref="BW471" si="4644">I471</f>
        <v>213</v>
      </c>
      <c r="BX471" s="72">
        <f t="shared" ref="BX471" si="4645">M471</f>
        <v>217</v>
      </c>
      <c r="BY471" s="71" t="str">
        <f t="shared" ref="BY471" si="4646">Q471</f>
        <v>-</v>
      </c>
      <c r="BZ471" s="72">
        <f t="shared" ref="BZ471" si="4647">U471</f>
        <v>277</v>
      </c>
      <c r="CA471" s="71" t="str">
        <f t="shared" ref="CA471" si="4648">Y471</f>
        <v>-</v>
      </c>
      <c r="CB471" s="72">
        <f t="shared" ref="CB471" si="4649">AC471</f>
        <v>316</v>
      </c>
      <c r="CC471" s="71">
        <f t="shared" ref="CC471" si="4650">AG471</f>
        <v>351</v>
      </c>
      <c r="CD471" s="72">
        <f t="shared" ref="CD471" si="4651">AK471</f>
        <v>357</v>
      </c>
      <c r="CE471" s="71">
        <f t="shared" ref="CE471" si="4652">AO471</f>
        <v>398</v>
      </c>
      <c r="CF471" s="72">
        <f t="shared" ref="CF471" si="4653">AS471</f>
        <v>434</v>
      </c>
      <c r="CG471" s="71">
        <f t="shared" ref="CG471" si="4654">AW471</f>
        <v>463</v>
      </c>
      <c r="CH471" s="70">
        <f t="shared" ref="CH471" si="4655">G471</f>
        <v>212</v>
      </c>
      <c r="CI471" s="71">
        <f t="shared" ref="CI471" si="4656">K471</f>
        <v>216</v>
      </c>
      <c r="CJ471" s="72">
        <f t="shared" ref="CJ471" si="4657">O471</f>
        <v>249</v>
      </c>
      <c r="CK471" s="72" t="str">
        <f t="shared" ref="CK471" si="4658">S471</f>
        <v>-</v>
      </c>
      <c r="CL471" s="72">
        <f t="shared" ref="CL471" si="4659">W471</f>
        <v>312</v>
      </c>
      <c r="CM471" s="72" t="str">
        <f t="shared" ref="CM471" si="4660">AA471</f>
        <v>-</v>
      </c>
      <c r="CN471" s="72">
        <f t="shared" ref="CN471" si="4661">AE471</f>
        <v>347</v>
      </c>
      <c r="CO471" s="72">
        <f t="shared" ref="CO471" si="4662">AI471</f>
        <v>353</v>
      </c>
      <c r="CP471" s="72">
        <f t="shared" ref="CP471" si="4663">AM471</f>
        <v>389</v>
      </c>
      <c r="CQ471" s="72">
        <f t="shared" ref="CQ471" si="4664">AQ471</f>
        <v>427</v>
      </c>
      <c r="CR471" s="72">
        <f t="shared" ref="CR471" si="4665">AU471</f>
        <v>462</v>
      </c>
      <c r="CS471" s="72">
        <f t="shared" ref="CS471" si="4666">AY471</f>
        <v>488</v>
      </c>
      <c r="CT471" s="23">
        <f t="shared" ref="CT471" si="4667">M471-K471</f>
        <v>1</v>
      </c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</row>
    <row r="472" spans="1:1029" x14ac:dyDescent="0.2">
      <c r="A472" s="3" t="str">
        <f t="shared" ref="A472" si="4668">CONCATENATE(B472,"_",C472)</f>
        <v>pth1r_human_6FJ3</v>
      </c>
      <c r="B472" s="3" t="s">
        <v>408</v>
      </c>
      <c r="C472" s="3" t="s">
        <v>1523</v>
      </c>
      <c r="D472" s="3" t="str">
        <f>IFERROR(MID(VLOOKUP($B472,Seqs!$A:$B,2,0),E472,1),"")</f>
        <v>R</v>
      </c>
      <c r="E472" s="3">
        <v>179</v>
      </c>
      <c r="F472" s="3" t="str">
        <f>IFERROR(MID(VLOOKUP($B472,Seqs!$A:$B,2,0),G472,1),"")</f>
        <v>F</v>
      </c>
      <c r="G472" s="3">
        <v>212</v>
      </c>
      <c r="H472" s="3" t="str">
        <f>IFERROR(MID(VLOOKUP($B472,Seqs!$A:$B,2,0),I472,1),"")</f>
        <v>R</v>
      </c>
      <c r="I472" s="23">
        <v>213</v>
      </c>
      <c r="J472" s="3" t="str">
        <f>IFERROR(MID(VLOOKUP($B472,Seqs!$A:$B,2,0),K472,1),"")</f>
        <v>H</v>
      </c>
      <c r="K472" s="23">
        <v>216</v>
      </c>
      <c r="L472" s="3" t="str">
        <f>IFERROR(MID(VLOOKUP($B472,Seqs!$A:$B,2,0),M472,1),"")</f>
        <v>C</v>
      </c>
      <c r="M472" s="23">
        <v>217</v>
      </c>
      <c r="N472" s="3" t="str">
        <f>IFERROR(MID(VLOOKUP($B472,Seqs!$A:$B,2,0),O472,1),"")</f>
        <v>Y</v>
      </c>
      <c r="O472" s="3">
        <v>245</v>
      </c>
      <c r="P472" s="3" t="str">
        <f>IFERROR(MID(VLOOKUP($B472,Seqs!$A:$B,2,0),Q472,1),"")</f>
        <v/>
      </c>
      <c r="Q472" s="3" t="s">
        <v>23</v>
      </c>
      <c r="R472" s="3" t="str">
        <f>IFERROR(MID(VLOOKUP($B472,Seqs!$A:$B,2,0),S472,1),"")</f>
        <v/>
      </c>
      <c r="S472" s="3" t="s">
        <v>23</v>
      </c>
      <c r="T472" s="3" t="str">
        <f>IFERROR(MID(VLOOKUP($B472,Seqs!$A:$B,2,0),U472,1),"")</f>
        <v>Y</v>
      </c>
      <c r="U472" s="3">
        <v>278</v>
      </c>
      <c r="V472" s="3" t="str">
        <f>IFERROR(MID(VLOOKUP($B472,Seqs!$A:$B,2,0),W472,1),"")</f>
        <v>M</v>
      </c>
      <c r="W472" s="3">
        <v>312</v>
      </c>
      <c r="X472" s="3" t="str">
        <f>IFERROR(MID(VLOOKUP($B472,Seqs!$A:$B,2,0),Y472,1),"")</f>
        <v/>
      </c>
      <c r="Y472" s="3" t="s">
        <v>23</v>
      </c>
      <c r="Z472" s="3" t="str">
        <f>IFERROR(MID(VLOOKUP($B472,Seqs!$A:$B,2,0),AA472,1),"")</f>
        <v/>
      </c>
      <c r="AA472" s="3" t="s">
        <v>23</v>
      </c>
      <c r="AB472" s="3" t="str">
        <f>IFERROR(MID(VLOOKUP($B472,Seqs!$A:$B,2,0),AC472,1),"")</f>
        <v>S</v>
      </c>
      <c r="AC472" s="3">
        <v>316</v>
      </c>
      <c r="AD472" s="3" t="str">
        <f>IFERROR(MID(VLOOKUP($B472,Seqs!$A:$B,2,0),AE472,1),"")</f>
        <v>A</v>
      </c>
      <c r="AE472" s="3">
        <v>347</v>
      </c>
      <c r="AF472" s="3" t="str">
        <f>IFERROR(MID(VLOOKUP($B472,Seqs!$A:$B,2,0),AG472,1),"")</f>
        <v>C</v>
      </c>
      <c r="AG472" s="3">
        <v>351</v>
      </c>
      <c r="AH472" s="3" t="str">
        <f>IFERROR(MID(VLOOKUP($B472,Seqs!$A:$B,2,0),AI472,1),"")</f>
        <v>D</v>
      </c>
      <c r="AI472" s="3">
        <v>353</v>
      </c>
      <c r="AJ472" s="3" t="str">
        <f>IFERROR(MID(VLOOKUP($B472,Seqs!$A:$B,2,0),AK472,1),"")</f>
        <v>G</v>
      </c>
      <c r="AK472" s="3">
        <v>357</v>
      </c>
      <c r="AL472" s="3" t="str">
        <f>IFERROR(MID(VLOOKUP($B472,Seqs!$A:$B,2,0),AM472,1),"")</f>
        <v>R</v>
      </c>
      <c r="AM472" s="3">
        <v>383</v>
      </c>
      <c r="AN472" s="3" t="str">
        <f>IFERROR(MID(VLOOKUP($B472,Seqs!$A:$B,2,0),AO472,1),"")</f>
        <v>D</v>
      </c>
      <c r="AO472" s="3">
        <v>398</v>
      </c>
      <c r="AP472" s="3" t="str">
        <f>IFERROR(MID(VLOOKUP($B472,Seqs!$A:$B,2,0),AQ472,1),"")</f>
        <v>T</v>
      </c>
      <c r="AQ472" s="3">
        <v>427</v>
      </c>
      <c r="AR472" s="3" t="str">
        <f>IFERROR(MID(VLOOKUP($B472,Seqs!$A:$B,2,0),AS472,1),"")</f>
        <v>G</v>
      </c>
      <c r="AS472" s="3">
        <v>434</v>
      </c>
      <c r="AT472" s="3" t="str">
        <f>IFERROR(MID(VLOOKUP($B472,Seqs!$A:$B,2,0),AU472,1),"")</f>
        <v>C</v>
      </c>
      <c r="AU472" s="3">
        <v>462</v>
      </c>
      <c r="AV472" s="3" t="str">
        <f>IFERROR(MID(VLOOKUP($B472,Seqs!$A:$B,2,0),AW472,1),"")</f>
        <v>N</v>
      </c>
      <c r="AW472" s="3">
        <v>463</v>
      </c>
      <c r="AX472" s="3" t="str">
        <f>IFERROR(MID(VLOOKUP($B472,Seqs!$A:$B,2,0),AY472,1),"")</f>
        <v>W</v>
      </c>
      <c r="AY472" s="3">
        <v>477</v>
      </c>
      <c r="AZ472" s="77" t="str">
        <f>VLOOKUP(B472,Classification!A:D,2,0)</f>
        <v>B1</v>
      </c>
      <c r="BA472" s="94" t="str">
        <f>VLOOKUP(B472,Classification!A:D,4,0)</f>
        <v>Parathyroidhormone</v>
      </c>
      <c r="BB472" s="27" t="b">
        <f t="shared" ref="BB472" si="4669">AND(E472&lt;G472,OR(G472&lt;I472,I472="-"),OR(I472&lt;K472,I472="-"),OR(K472&lt;M472,K472="-"),M472&lt;O472,OR(O472&lt;Q472,Q472="-"),OR(Q472&lt;S472,Q472="-"),OR(S472&lt;U472,S472="-"),U472&lt;W472,OR(W472&lt;Y472,Y472="-"),OR(Y472&lt;AA472,Y472="-"),OR(AA472&lt;AC472,AA472="-"),AC472&lt;AE472,OR(AE472&lt;AG472,AG472="-"),OR(AG472&lt;AI472,AG472="-"),OR(AI472&lt;AK472,AI472="-"),AK472&lt;AM472,AM472&lt;AO472,AO472&lt;AQ472,AQ472&lt;AS472,AS472&lt;AU472,OR(AU472&lt;AW472,AW472="-"),OR(AW472&lt;AY472,AW472="-"))</f>
        <v>1</v>
      </c>
      <c r="BC472" s="23">
        <f t="shared" ref="BC472" si="4670">_xlfn.AGGREGATE(9,6,CH472:CS472)-_xlfn.AGGREGATE(9,6,BV472:CG472)+12</f>
        <v>240</v>
      </c>
      <c r="BD472" s="4" t="s">
        <v>1372</v>
      </c>
      <c r="BE472" s="3" t="s">
        <v>1370</v>
      </c>
      <c r="BF472" s="118">
        <v>2.5</v>
      </c>
      <c r="BG472" s="49" t="s">
        <v>1</v>
      </c>
      <c r="BH472" s="49" t="s">
        <v>1</v>
      </c>
      <c r="BI472" s="1"/>
      <c r="BJ472" s="70" t="s">
        <v>1283</v>
      </c>
      <c r="BK472" s="57" t="s">
        <v>1283</v>
      </c>
      <c r="BL472" s="57" t="s">
        <v>1283</v>
      </c>
      <c r="BM472" s="57" t="s">
        <v>1283</v>
      </c>
      <c r="BN472" s="57" t="s">
        <v>1283</v>
      </c>
      <c r="BO472" s="57" t="s">
        <v>1283</v>
      </c>
      <c r="BP472" s="57" t="s">
        <v>1283</v>
      </c>
      <c r="BQ472" s="57" t="s">
        <v>1283</v>
      </c>
      <c r="BR472" s="57" t="s">
        <v>1283</v>
      </c>
      <c r="BS472" s="57" t="s">
        <v>1283</v>
      </c>
      <c r="BT472" s="57" t="s">
        <v>1283</v>
      </c>
      <c r="BU472" s="57" t="s">
        <v>1283</v>
      </c>
      <c r="BV472" s="70">
        <f t="shared" ref="BV472" si="4671">E472</f>
        <v>179</v>
      </c>
      <c r="BW472" s="71">
        <f t="shared" ref="BW472" si="4672">I472</f>
        <v>213</v>
      </c>
      <c r="BX472" s="72">
        <f t="shared" ref="BX472" si="4673">M472</f>
        <v>217</v>
      </c>
      <c r="BY472" s="71" t="str">
        <f t="shared" ref="BY472" si="4674">Q472</f>
        <v>-</v>
      </c>
      <c r="BZ472" s="72">
        <f t="shared" ref="BZ472" si="4675">U472</f>
        <v>278</v>
      </c>
      <c r="CA472" s="71" t="str">
        <f t="shared" ref="CA472" si="4676">Y472</f>
        <v>-</v>
      </c>
      <c r="CB472" s="72">
        <f t="shared" ref="CB472" si="4677">AC472</f>
        <v>316</v>
      </c>
      <c r="CC472" s="71">
        <f t="shared" ref="CC472" si="4678">AG472</f>
        <v>351</v>
      </c>
      <c r="CD472" s="72">
        <f t="shared" ref="CD472" si="4679">AK472</f>
        <v>357</v>
      </c>
      <c r="CE472" s="71">
        <f t="shared" ref="CE472" si="4680">AO472</f>
        <v>398</v>
      </c>
      <c r="CF472" s="72">
        <f t="shared" ref="CF472" si="4681">AS472</f>
        <v>434</v>
      </c>
      <c r="CG472" s="71">
        <f t="shared" ref="CG472" si="4682">AW472</f>
        <v>463</v>
      </c>
      <c r="CH472" s="70">
        <f t="shared" ref="CH472" si="4683">G472</f>
        <v>212</v>
      </c>
      <c r="CI472" s="71">
        <f t="shared" ref="CI472" si="4684">K472</f>
        <v>216</v>
      </c>
      <c r="CJ472" s="72">
        <f t="shared" ref="CJ472" si="4685">O472</f>
        <v>245</v>
      </c>
      <c r="CK472" s="72" t="str">
        <f t="shared" ref="CK472" si="4686">S472</f>
        <v>-</v>
      </c>
      <c r="CL472" s="72">
        <f t="shared" ref="CL472" si="4687">W472</f>
        <v>312</v>
      </c>
      <c r="CM472" s="72" t="str">
        <f t="shared" ref="CM472" si="4688">AA472</f>
        <v>-</v>
      </c>
      <c r="CN472" s="72">
        <f t="shared" ref="CN472" si="4689">AE472</f>
        <v>347</v>
      </c>
      <c r="CO472" s="72">
        <f t="shared" ref="CO472" si="4690">AI472</f>
        <v>353</v>
      </c>
      <c r="CP472" s="72">
        <f t="shared" ref="CP472" si="4691">AM472</f>
        <v>383</v>
      </c>
      <c r="CQ472" s="72">
        <f t="shared" ref="CQ472" si="4692">AQ472</f>
        <v>427</v>
      </c>
      <c r="CR472" s="72">
        <f t="shared" ref="CR472" si="4693">AU472</f>
        <v>462</v>
      </c>
      <c r="CS472" s="72">
        <f t="shared" ref="CS472" si="4694">AY472</f>
        <v>477</v>
      </c>
      <c r="CT472" s="23">
        <f t="shared" ref="CT472" si="4695">M472-K472</f>
        <v>1</v>
      </c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  <c r="AMO472" s="1"/>
    </row>
    <row r="473" spans="1:1029" x14ac:dyDescent="0.2">
      <c r="A473" s="3" t="str">
        <f t="shared" ref="A473" si="4696">CONCATENATE(B473,"_",C473)</f>
        <v>pth1r_human_6NBF</v>
      </c>
      <c r="B473" s="3" t="s">
        <v>408</v>
      </c>
      <c r="C473" s="3" t="s">
        <v>1569</v>
      </c>
      <c r="D473" s="3" t="str">
        <f>IFERROR(MID(VLOOKUP($B473,Seqs!$A:$B,2,0),E473,1),"")</f>
        <v>T</v>
      </c>
      <c r="E473" s="3">
        <v>178</v>
      </c>
      <c r="F473" s="3" t="str">
        <f>IFERROR(MID(VLOOKUP($B473,Seqs!$A:$B,2,0),G473,1),"")</f>
        <v>F</v>
      </c>
      <c r="G473" s="3">
        <v>212</v>
      </c>
      <c r="H473" s="3" t="str">
        <f>IFERROR(MID(VLOOKUP($B473,Seqs!$A:$B,2,0),I473,1),"")</f>
        <v>R</v>
      </c>
      <c r="I473" s="23">
        <v>213</v>
      </c>
      <c r="J473" s="3" t="str">
        <f>IFERROR(MID(VLOOKUP($B473,Seqs!$A:$B,2,0),K473,1),"")</f>
        <v>H</v>
      </c>
      <c r="K473" s="23">
        <v>216</v>
      </c>
      <c r="L473" s="3" t="str">
        <f>IFERROR(MID(VLOOKUP($B473,Seqs!$A:$B,2,0),M473,1),"")</f>
        <v>C</v>
      </c>
      <c r="M473" s="23">
        <v>217</v>
      </c>
      <c r="N473" s="3" t="str">
        <f>IFERROR(MID(VLOOKUP($B473,Seqs!$A:$B,2,0),O473,1),"")</f>
        <v>S</v>
      </c>
      <c r="O473" s="3">
        <v>246</v>
      </c>
      <c r="P473" s="3" t="str">
        <f>IFERROR(MID(VLOOKUP($B473,Seqs!$A:$B,2,0),Q473,1),"")</f>
        <v/>
      </c>
      <c r="Q473" s="3" t="s">
        <v>23</v>
      </c>
      <c r="R473" s="3" t="str">
        <f>IFERROR(MID(VLOOKUP($B473,Seqs!$A:$B,2,0),S473,1),"")</f>
        <v/>
      </c>
      <c r="S473" s="3" t="s">
        <v>23</v>
      </c>
      <c r="T473" s="3" t="str">
        <f>IFERROR(MID(VLOOKUP($B473,Seqs!$A:$B,2,0),U473,1),"")</f>
        <v>Y</v>
      </c>
      <c r="U473" s="3">
        <v>278</v>
      </c>
      <c r="V473" s="3" t="str">
        <f>IFERROR(MID(VLOOKUP($B473,Seqs!$A:$B,2,0),W473,1),"")</f>
        <v>M</v>
      </c>
      <c r="W473" s="3">
        <v>312</v>
      </c>
      <c r="X473" s="3" t="str">
        <f>IFERROR(MID(VLOOKUP($B473,Seqs!$A:$B,2,0),Y473,1),"")</f>
        <v/>
      </c>
      <c r="Y473" s="3" t="s">
        <v>23</v>
      </c>
      <c r="Z473" s="3" t="str">
        <f>IFERROR(MID(VLOOKUP($B473,Seqs!$A:$B,2,0),AA473,1),"")</f>
        <v/>
      </c>
      <c r="AA473" s="3" t="s">
        <v>23</v>
      </c>
      <c r="AB473" s="3" t="str">
        <f>IFERROR(MID(VLOOKUP($B473,Seqs!$A:$B,2,0),AC473,1),"")</f>
        <v>S</v>
      </c>
      <c r="AC473" s="3">
        <v>316</v>
      </c>
      <c r="AD473" s="3" t="str">
        <f>IFERROR(MID(VLOOKUP($B473,Seqs!$A:$B,2,0),AE473,1),"")</f>
        <v>L</v>
      </c>
      <c r="AE473" s="3">
        <v>346</v>
      </c>
      <c r="AF473" s="3" t="str">
        <f>IFERROR(MID(VLOOKUP($B473,Seqs!$A:$B,2,0),AG473,1),"")</f>
        <v>C</v>
      </c>
      <c r="AG473" s="3">
        <v>351</v>
      </c>
      <c r="AH473" s="3" t="str">
        <f>IFERROR(MID(VLOOKUP($B473,Seqs!$A:$B,2,0),AI473,1),"")</f>
        <v>D</v>
      </c>
      <c r="AI473" s="3">
        <v>353</v>
      </c>
      <c r="AJ473" s="3" t="str">
        <f>IFERROR(MID(VLOOKUP($B473,Seqs!$A:$B,2,0),AK473,1),"")</f>
        <v>G</v>
      </c>
      <c r="AK473" s="3">
        <v>357</v>
      </c>
      <c r="AL473" s="3" t="str">
        <f>IFERROR(MID(VLOOKUP($B473,Seqs!$A:$B,2,0),AM473,1),"")</f>
        <v>N</v>
      </c>
      <c r="AM473" s="3">
        <v>393</v>
      </c>
      <c r="AN473" s="3" t="str">
        <f>IFERROR(MID(VLOOKUP($B473,Seqs!$A:$B,2,0),AO473,1),"")</f>
        <v>T</v>
      </c>
      <c r="AO473" s="3">
        <v>399</v>
      </c>
      <c r="AP473" s="3" t="str">
        <f>IFERROR(MID(VLOOKUP($B473,Seqs!$A:$B,2,0),AQ473,1),"")</f>
        <v>F</v>
      </c>
      <c r="AQ473" s="3">
        <v>424</v>
      </c>
      <c r="AR473" s="3" t="str">
        <f>IFERROR(MID(VLOOKUP($B473,Seqs!$A:$B,2,0),AS473,1),"")</f>
        <v>G</v>
      </c>
      <c r="AS473" s="3">
        <v>434</v>
      </c>
      <c r="AT473" s="3" t="str">
        <f>IFERROR(MID(VLOOKUP($B473,Seqs!$A:$B,2,0),AU473,1),"")</f>
        <v>C</v>
      </c>
      <c r="AU473" s="3">
        <v>462</v>
      </c>
      <c r="AV473" s="3" t="str">
        <f>IFERROR(MID(VLOOKUP($B473,Seqs!$A:$B,2,0),AW473,1),"")</f>
        <v>N</v>
      </c>
      <c r="AW473" s="3">
        <v>463</v>
      </c>
      <c r="AX473" s="3" t="str">
        <f>IFERROR(MID(VLOOKUP($B473,Seqs!$A:$B,2,0),AY473,1),"")</f>
        <v>L</v>
      </c>
      <c r="AY473" s="3">
        <v>481</v>
      </c>
      <c r="AZ473" s="77" t="str">
        <f>VLOOKUP(B473,Classification!A:D,2,0)</f>
        <v>B1</v>
      </c>
      <c r="BA473" s="94" t="str">
        <f>VLOOKUP(B473,Classification!A:D,4,0)</f>
        <v>Parathyroidhormone</v>
      </c>
      <c r="BB473" s="27" t="b">
        <f t="shared" ref="BB473" si="4697">AND(E473&lt;G473,OR(G473&lt;I473,I473="-"),OR(I473&lt;K473,I473="-"),OR(K473&lt;M473,K473="-"),M473&lt;O473,OR(O473&lt;Q473,Q473="-"),OR(Q473&lt;S473,Q473="-"),OR(S473&lt;U473,S473="-"),U473&lt;W473,OR(W473&lt;Y473,Y473="-"),OR(Y473&lt;AA473,Y473="-"),OR(AA473&lt;AC473,AA473="-"),AC473&lt;AE473,OR(AE473&lt;AG473,AG473="-"),OR(AG473&lt;AI473,AG473="-"),OR(AI473&lt;AK473,AI473="-"),AK473&lt;AM473,AM473&lt;AO473,AO473&lt;AQ473,AQ473&lt;AS473,AS473&lt;AU473,OR(AU473&lt;AW473,AW473="-"),OR(AW473&lt;AY473,AW473="-"))</f>
        <v>1</v>
      </c>
      <c r="BC473" s="23">
        <f t="shared" ref="BC473" si="4698">_xlfn.AGGREGATE(9,6,CH473:CS473)-_xlfn.AGGREGATE(9,6,BV473:CG473)+12</f>
        <v>251</v>
      </c>
      <c r="BD473" s="4" t="s">
        <v>23</v>
      </c>
      <c r="BE473" s="3" t="s">
        <v>1287</v>
      </c>
      <c r="BF473" s="118">
        <v>3</v>
      </c>
      <c r="BG473" s="49" t="s">
        <v>1418</v>
      </c>
      <c r="BH473" s="49" t="s">
        <v>1418</v>
      </c>
      <c r="BI473" s="1"/>
      <c r="BJ473" s="70" t="s">
        <v>1283</v>
      </c>
      <c r="BK473" s="57" t="s">
        <v>1283</v>
      </c>
      <c r="BL473" s="57" t="s">
        <v>1283</v>
      </c>
      <c r="BM473" s="57" t="s">
        <v>1283</v>
      </c>
      <c r="BN473" s="57" t="s">
        <v>1283</v>
      </c>
      <c r="BO473" s="57" t="s">
        <v>1283</v>
      </c>
      <c r="BP473" s="57" t="s">
        <v>1283</v>
      </c>
      <c r="BQ473" s="57" t="s">
        <v>1283</v>
      </c>
      <c r="BR473" s="57" t="s">
        <v>1283</v>
      </c>
      <c r="BS473" s="57" t="s">
        <v>1283</v>
      </c>
      <c r="BT473" s="57" t="s">
        <v>1283</v>
      </c>
      <c r="BU473" s="57" t="s">
        <v>1283</v>
      </c>
      <c r="BV473" s="70">
        <f t="shared" ref="BV473" si="4699">E473</f>
        <v>178</v>
      </c>
      <c r="BW473" s="71">
        <f t="shared" ref="BW473" si="4700">I473</f>
        <v>213</v>
      </c>
      <c r="BX473" s="72">
        <f t="shared" ref="BX473" si="4701">M473</f>
        <v>217</v>
      </c>
      <c r="BY473" s="71" t="str">
        <f t="shared" ref="BY473" si="4702">Q473</f>
        <v>-</v>
      </c>
      <c r="BZ473" s="72">
        <f t="shared" ref="BZ473" si="4703">U473</f>
        <v>278</v>
      </c>
      <c r="CA473" s="71" t="str">
        <f t="shared" ref="CA473" si="4704">Y473</f>
        <v>-</v>
      </c>
      <c r="CB473" s="72">
        <f t="shared" ref="CB473" si="4705">AC473</f>
        <v>316</v>
      </c>
      <c r="CC473" s="71">
        <f t="shared" ref="CC473" si="4706">AG473</f>
        <v>351</v>
      </c>
      <c r="CD473" s="72">
        <f t="shared" ref="CD473" si="4707">AK473</f>
        <v>357</v>
      </c>
      <c r="CE473" s="71">
        <f t="shared" ref="CE473" si="4708">AO473</f>
        <v>399</v>
      </c>
      <c r="CF473" s="72">
        <f t="shared" ref="CF473" si="4709">AS473</f>
        <v>434</v>
      </c>
      <c r="CG473" s="71">
        <f t="shared" ref="CG473" si="4710">AW473</f>
        <v>463</v>
      </c>
      <c r="CH473" s="70">
        <f t="shared" ref="CH473" si="4711">G473</f>
        <v>212</v>
      </c>
      <c r="CI473" s="71">
        <f t="shared" ref="CI473" si="4712">K473</f>
        <v>216</v>
      </c>
      <c r="CJ473" s="72">
        <f t="shared" ref="CJ473" si="4713">O473</f>
        <v>246</v>
      </c>
      <c r="CK473" s="72" t="str">
        <f t="shared" ref="CK473" si="4714">S473</f>
        <v>-</v>
      </c>
      <c r="CL473" s="72">
        <f t="shared" ref="CL473" si="4715">W473</f>
        <v>312</v>
      </c>
      <c r="CM473" s="72" t="str">
        <f t="shared" ref="CM473" si="4716">AA473</f>
        <v>-</v>
      </c>
      <c r="CN473" s="72">
        <f t="shared" ref="CN473" si="4717">AE473</f>
        <v>346</v>
      </c>
      <c r="CO473" s="72">
        <f t="shared" ref="CO473" si="4718">AI473</f>
        <v>353</v>
      </c>
      <c r="CP473" s="72">
        <f t="shared" ref="CP473" si="4719">AM473</f>
        <v>393</v>
      </c>
      <c r="CQ473" s="72">
        <f t="shared" ref="CQ473" si="4720">AQ473</f>
        <v>424</v>
      </c>
      <c r="CR473" s="72">
        <f t="shared" ref="CR473" si="4721">AU473</f>
        <v>462</v>
      </c>
      <c r="CS473" s="72">
        <f t="shared" ref="CS473" si="4722">AY473</f>
        <v>481</v>
      </c>
      <c r="CT473" s="23">
        <f t="shared" ref="CT473" si="4723">M473-K473</f>
        <v>1</v>
      </c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  <c r="AMO473" s="1"/>
    </row>
    <row r="474" spans="1:1029" x14ac:dyDescent="0.2">
      <c r="A474" s="3" t="str">
        <f t="shared" ref="A474" si="4724">CONCATENATE(B474,"_",C474)</f>
        <v>pth1r_human_6NBH</v>
      </c>
      <c r="B474" s="3" t="s">
        <v>408</v>
      </c>
      <c r="C474" s="3" t="s">
        <v>1570</v>
      </c>
      <c r="D474" s="3" t="str">
        <f>IFERROR(MID(VLOOKUP($B474,Seqs!$A:$B,2,0),E474,1),"")</f>
        <v>T</v>
      </c>
      <c r="E474" s="3">
        <v>178</v>
      </c>
      <c r="F474" s="3" t="str">
        <f>IFERROR(MID(VLOOKUP($B474,Seqs!$A:$B,2,0),G474,1),"")</f>
        <v>F</v>
      </c>
      <c r="G474" s="3">
        <v>212</v>
      </c>
      <c r="H474" s="3" t="str">
        <f>IFERROR(MID(VLOOKUP($B474,Seqs!$A:$B,2,0),I474,1),"")</f>
        <v>R</v>
      </c>
      <c r="I474" s="23">
        <v>213</v>
      </c>
      <c r="J474" s="3" t="str">
        <f>IFERROR(MID(VLOOKUP($B474,Seqs!$A:$B,2,0),K474,1),"")</f>
        <v>H</v>
      </c>
      <c r="K474" s="23">
        <v>216</v>
      </c>
      <c r="L474" s="3" t="str">
        <f>IFERROR(MID(VLOOKUP($B474,Seqs!$A:$B,2,0),M474,1),"")</f>
        <v>C</v>
      </c>
      <c r="M474" s="23">
        <v>217</v>
      </c>
      <c r="N474" s="3" t="str">
        <f>IFERROR(MID(VLOOKUP($B474,Seqs!$A:$B,2,0),O474,1),"")</f>
        <v>L</v>
      </c>
      <c r="O474" s="3">
        <v>250</v>
      </c>
      <c r="P474" s="3" t="str">
        <f>IFERROR(MID(VLOOKUP($B474,Seqs!$A:$B,2,0),Q474,1),"")</f>
        <v/>
      </c>
      <c r="Q474" s="3" t="s">
        <v>23</v>
      </c>
      <c r="R474" s="3" t="str">
        <f>IFERROR(MID(VLOOKUP($B474,Seqs!$A:$B,2,0),S474,1),"")</f>
        <v/>
      </c>
      <c r="S474" s="3" t="s">
        <v>23</v>
      </c>
      <c r="T474" s="3" t="str">
        <f>IFERROR(MID(VLOOKUP($B474,Seqs!$A:$B,2,0),U474,1),"")</f>
        <v>Y</v>
      </c>
      <c r="U474" s="3">
        <v>278</v>
      </c>
      <c r="V474" s="3" t="str">
        <f>IFERROR(MID(VLOOKUP($B474,Seqs!$A:$B,2,0),W474,1),"")</f>
        <v>M</v>
      </c>
      <c r="W474" s="3">
        <v>312</v>
      </c>
      <c r="X474" s="3" t="str">
        <f>IFERROR(MID(VLOOKUP($B474,Seqs!$A:$B,2,0),Y474,1),"")</f>
        <v/>
      </c>
      <c r="Y474" s="3" t="s">
        <v>23</v>
      </c>
      <c r="Z474" s="3" t="str">
        <f>IFERROR(MID(VLOOKUP($B474,Seqs!$A:$B,2,0),AA474,1),"")</f>
        <v/>
      </c>
      <c r="AA474" s="3" t="s">
        <v>23</v>
      </c>
      <c r="AB474" s="3" t="str">
        <f>IFERROR(MID(VLOOKUP($B474,Seqs!$A:$B,2,0),AC474,1),"")</f>
        <v>S</v>
      </c>
      <c r="AC474" s="3">
        <v>316</v>
      </c>
      <c r="AD474" s="3" t="str">
        <f>IFERROR(MID(VLOOKUP($B474,Seqs!$A:$B,2,0),AE474,1),"")</f>
        <v>A</v>
      </c>
      <c r="AE474" s="3">
        <v>347</v>
      </c>
      <c r="AF474" s="3" t="str">
        <f>IFERROR(MID(VLOOKUP($B474,Seqs!$A:$B,2,0),AG474,1),"")</f>
        <v>C</v>
      </c>
      <c r="AG474" s="3">
        <v>351</v>
      </c>
      <c r="AH474" s="3" t="str">
        <f>IFERROR(MID(VLOOKUP($B474,Seqs!$A:$B,2,0),AI474,1),"")</f>
        <v>D</v>
      </c>
      <c r="AI474" s="3">
        <v>353</v>
      </c>
      <c r="AJ474" s="3" t="str">
        <f>IFERROR(MID(VLOOKUP($B474,Seqs!$A:$B,2,0),AK474,1),"")</f>
        <v>G</v>
      </c>
      <c r="AK474" s="3">
        <v>357</v>
      </c>
      <c r="AL474" s="3" t="str">
        <f>IFERROR(MID(VLOOKUP($B474,Seqs!$A:$B,2,0),AM474,1),"")</f>
        <v>T</v>
      </c>
      <c r="AM474" s="3">
        <v>392</v>
      </c>
      <c r="AN474" s="3" t="str">
        <f>IFERROR(MID(VLOOKUP($B474,Seqs!$A:$B,2,0),AO474,1),"")</f>
        <v>T</v>
      </c>
      <c r="AO474" s="3">
        <v>399</v>
      </c>
      <c r="AP474" s="3" t="str">
        <f>IFERROR(MID(VLOOKUP($B474,Seqs!$A:$B,2,0),AQ474,1),"")</f>
        <v>F</v>
      </c>
      <c r="AQ474" s="3">
        <v>424</v>
      </c>
      <c r="AR474" s="3" t="str">
        <f>IFERROR(MID(VLOOKUP($B474,Seqs!$A:$B,2,0),AS474,1),"")</f>
        <v>G</v>
      </c>
      <c r="AS474" s="3">
        <v>434</v>
      </c>
      <c r="AT474" s="3" t="str">
        <f>IFERROR(MID(VLOOKUP($B474,Seqs!$A:$B,2,0),AU474,1),"")</f>
        <v>C</v>
      </c>
      <c r="AU474" s="3">
        <v>462</v>
      </c>
      <c r="AV474" s="3" t="str">
        <f>IFERROR(MID(VLOOKUP($B474,Seqs!$A:$B,2,0),AW474,1),"")</f>
        <v>N</v>
      </c>
      <c r="AW474" s="3">
        <v>463</v>
      </c>
      <c r="AX474" s="3" t="str">
        <f>IFERROR(MID(VLOOKUP($B474,Seqs!$A:$B,2,0),AY474,1),"")</f>
        <v>D</v>
      </c>
      <c r="AY474" s="3">
        <v>482</v>
      </c>
      <c r="AZ474" s="77" t="str">
        <f>VLOOKUP(B474,Classification!A:D,2,0)</f>
        <v>B1</v>
      </c>
      <c r="BA474" s="94" t="str">
        <f>VLOOKUP(B474,Classification!A:D,4,0)</f>
        <v>Parathyroidhormone</v>
      </c>
      <c r="BB474" s="27" t="b">
        <f t="shared" ref="BB474" si="4725">AND(E474&lt;G474,OR(G474&lt;I474,I474="-"),OR(I474&lt;K474,I474="-"),OR(K474&lt;M474,K474="-"),M474&lt;O474,OR(O474&lt;Q474,Q474="-"),OR(Q474&lt;S474,Q474="-"),OR(S474&lt;U474,S474="-"),U474&lt;W474,OR(W474&lt;Y474,Y474="-"),OR(Y474&lt;AA474,Y474="-"),OR(AA474&lt;AC474,AA474="-"),AC474&lt;AE474,OR(AE474&lt;AG474,AG474="-"),OR(AG474&lt;AI474,AG474="-"),OR(AI474&lt;AK474,AI474="-"),AK474&lt;AM474,AM474&lt;AO474,AO474&lt;AQ474,AQ474&lt;AS474,AS474&lt;AU474,OR(AU474&lt;AW474,AW474="-"),OR(AW474&lt;AY474,AW474="-"))</f>
        <v>1</v>
      </c>
      <c r="BC474" s="23">
        <f t="shared" ref="BC474" si="4726">_xlfn.AGGREGATE(9,6,CH474:CS474)-_xlfn.AGGREGATE(9,6,BV474:CG474)+12</f>
        <v>256</v>
      </c>
      <c r="BD474" s="4" t="s">
        <v>23</v>
      </c>
      <c r="BE474" s="3" t="s">
        <v>1287</v>
      </c>
      <c r="BF474" s="118">
        <v>3.5</v>
      </c>
      <c r="BG474" s="49" t="s">
        <v>1418</v>
      </c>
      <c r="BH474" s="49" t="s">
        <v>1418</v>
      </c>
      <c r="BI474" s="1"/>
      <c r="BJ474" s="70" t="s">
        <v>1283</v>
      </c>
      <c r="BK474" s="57" t="s">
        <v>1283</v>
      </c>
      <c r="BL474" s="57" t="s">
        <v>1283</v>
      </c>
      <c r="BM474" s="57" t="s">
        <v>1283</v>
      </c>
      <c r="BN474" s="57" t="s">
        <v>1283</v>
      </c>
      <c r="BO474" s="57" t="s">
        <v>1283</v>
      </c>
      <c r="BP474" s="57" t="s">
        <v>1283</v>
      </c>
      <c r="BQ474" s="57" t="s">
        <v>1283</v>
      </c>
      <c r="BR474" s="57" t="s">
        <v>1283</v>
      </c>
      <c r="BS474" s="57" t="s">
        <v>1283</v>
      </c>
      <c r="BT474" s="57" t="s">
        <v>1283</v>
      </c>
      <c r="BU474" s="57" t="s">
        <v>1283</v>
      </c>
      <c r="BV474" s="70">
        <f t="shared" ref="BV474" si="4727">E474</f>
        <v>178</v>
      </c>
      <c r="BW474" s="71">
        <f t="shared" ref="BW474" si="4728">I474</f>
        <v>213</v>
      </c>
      <c r="BX474" s="72">
        <f t="shared" ref="BX474" si="4729">M474</f>
        <v>217</v>
      </c>
      <c r="BY474" s="71" t="str">
        <f t="shared" ref="BY474" si="4730">Q474</f>
        <v>-</v>
      </c>
      <c r="BZ474" s="72">
        <f t="shared" ref="BZ474" si="4731">U474</f>
        <v>278</v>
      </c>
      <c r="CA474" s="71" t="str">
        <f t="shared" ref="CA474" si="4732">Y474</f>
        <v>-</v>
      </c>
      <c r="CB474" s="72">
        <f t="shared" ref="CB474" si="4733">AC474</f>
        <v>316</v>
      </c>
      <c r="CC474" s="71">
        <f t="shared" ref="CC474" si="4734">AG474</f>
        <v>351</v>
      </c>
      <c r="CD474" s="72">
        <f t="shared" ref="CD474" si="4735">AK474</f>
        <v>357</v>
      </c>
      <c r="CE474" s="71">
        <f t="shared" ref="CE474" si="4736">AO474</f>
        <v>399</v>
      </c>
      <c r="CF474" s="72">
        <f t="shared" ref="CF474" si="4737">AS474</f>
        <v>434</v>
      </c>
      <c r="CG474" s="71">
        <f t="shared" ref="CG474" si="4738">AW474</f>
        <v>463</v>
      </c>
      <c r="CH474" s="70">
        <f t="shared" ref="CH474" si="4739">G474</f>
        <v>212</v>
      </c>
      <c r="CI474" s="71">
        <f t="shared" ref="CI474" si="4740">K474</f>
        <v>216</v>
      </c>
      <c r="CJ474" s="72">
        <f t="shared" ref="CJ474" si="4741">O474</f>
        <v>250</v>
      </c>
      <c r="CK474" s="72" t="str">
        <f t="shared" ref="CK474" si="4742">S474</f>
        <v>-</v>
      </c>
      <c r="CL474" s="72">
        <f t="shared" ref="CL474" si="4743">W474</f>
        <v>312</v>
      </c>
      <c r="CM474" s="72" t="str">
        <f t="shared" ref="CM474" si="4744">AA474</f>
        <v>-</v>
      </c>
      <c r="CN474" s="72">
        <f t="shared" ref="CN474" si="4745">AE474</f>
        <v>347</v>
      </c>
      <c r="CO474" s="72">
        <f t="shared" ref="CO474" si="4746">AI474</f>
        <v>353</v>
      </c>
      <c r="CP474" s="72">
        <f t="shared" ref="CP474" si="4747">AM474</f>
        <v>392</v>
      </c>
      <c r="CQ474" s="72">
        <f t="shared" ref="CQ474" si="4748">AQ474</f>
        <v>424</v>
      </c>
      <c r="CR474" s="72">
        <f t="shared" ref="CR474" si="4749">AU474</f>
        <v>462</v>
      </c>
      <c r="CS474" s="72">
        <f t="shared" ref="CS474" si="4750">AY474</f>
        <v>482</v>
      </c>
      <c r="CT474" s="23">
        <f t="shared" ref="CT474" si="4751">M474-K474</f>
        <v>1</v>
      </c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  <c r="AMO474" s="1"/>
    </row>
    <row r="475" spans="1:1029" x14ac:dyDescent="0.2">
      <c r="A475" s="3" t="str">
        <f t="shared" ref="A475" si="4752">CONCATENATE(B475,"_",C475)</f>
        <v>pth1r_human_6NBI</v>
      </c>
      <c r="B475" s="3" t="s">
        <v>408</v>
      </c>
      <c r="C475" s="3" t="s">
        <v>1571</v>
      </c>
      <c r="D475" s="3" t="str">
        <f>IFERROR(MID(VLOOKUP($B475,Seqs!$A:$B,2,0),E475,1),"")</f>
        <v>F</v>
      </c>
      <c r="E475" s="3">
        <v>173</v>
      </c>
      <c r="F475" s="3" t="str">
        <f>IFERROR(MID(VLOOKUP($B475,Seqs!$A:$B,2,0),G475,1),"")</f>
        <v>F</v>
      </c>
      <c r="G475" s="3">
        <v>212</v>
      </c>
      <c r="H475" s="3" t="str">
        <f>IFERROR(MID(VLOOKUP($B475,Seqs!$A:$B,2,0),I475,1),"")</f>
        <v>R</v>
      </c>
      <c r="I475" s="23">
        <v>213</v>
      </c>
      <c r="J475" s="3" t="str">
        <f>IFERROR(MID(VLOOKUP($B475,Seqs!$A:$B,2,0),K475,1),"")</f>
        <v>H</v>
      </c>
      <c r="K475" s="23">
        <v>216</v>
      </c>
      <c r="L475" s="3" t="str">
        <f>IFERROR(MID(VLOOKUP($B475,Seqs!$A:$B,2,0),M475,1),"")</f>
        <v>C</v>
      </c>
      <c r="M475" s="23">
        <v>217</v>
      </c>
      <c r="N475" s="3" t="str">
        <f>IFERROR(MID(VLOOKUP($B475,Seqs!$A:$B,2,0),O475,1),"")</f>
        <v>L</v>
      </c>
      <c r="O475" s="3">
        <v>250</v>
      </c>
      <c r="P475" s="3" t="str">
        <f>IFERROR(MID(VLOOKUP($B475,Seqs!$A:$B,2,0),Q475,1),"")</f>
        <v/>
      </c>
      <c r="Q475" s="3" t="s">
        <v>23</v>
      </c>
      <c r="R475" s="3" t="str">
        <f>IFERROR(MID(VLOOKUP($B475,Seqs!$A:$B,2,0),S475,1),"")</f>
        <v/>
      </c>
      <c r="S475" s="3" t="s">
        <v>23</v>
      </c>
      <c r="T475" s="3" t="str">
        <f>IFERROR(MID(VLOOKUP($B475,Seqs!$A:$B,2,0),U475,1),"")</f>
        <v>T</v>
      </c>
      <c r="U475" s="3">
        <v>273</v>
      </c>
      <c r="V475" s="3" t="str">
        <f>IFERROR(MID(VLOOKUP($B475,Seqs!$A:$B,2,0),W475,1),"")</f>
        <v>F</v>
      </c>
      <c r="W475" s="3">
        <v>311</v>
      </c>
      <c r="X475" s="3" t="str">
        <f>IFERROR(MID(VLOOKUP($B475,Seqs!$A:$B,2,0),Y475,1),"")</f>
        <v/>
      </c>
      <c r="Y475" s="3" t="s">
        <v>23</v>
      </c>
      <c r="Z475" s="3" t="str">
        <f>IFERROR(MID(VLOOKUP($B475,Seqs!$A:$B,2,0),AA475,1),"")</f>
        <v/>
      </c>
      <c r="AA475" s="3" t="s">
        <v>23</v>
      </c>
      <c r="AB475" s="3" t="str">
        <f>IFERROR(MID(VLOOKUP($B475,Seqs!$A:$B,2,0),AC475,1),"")</f>
        <v>S</v>
      </c>
      <c r="AC475" s="3">
        <v>316</v>
      </c>
      <c r="AD475" s="3" t="str">
        <f>IFERROR(MID(VLOOKUP($B475,Seqs!$A:$B,2,0),AE475,1),"")</f>
        <v>A</v>
      </c>
      <c r="AE475" s="3">
        <v>347</v>
      </c>
      <c r="AF475" s="3" t="str">
        <f>IFERROR(MID(VLOOKUP($B475,Seqs!$A:$B,2,0),AG475,1),"")</f>
        <v>C</v>
      </c>
      <c r="AG475" s="3">
        <v>351</v>
      </c>
      <c r="AH475" s="3" t="str">
        <f>IFERROR(MID(VLOOKUP($B475,Seqs!$A:$B,2,0),AI475,1),"")</f>
        <v>D</v>
      </c>
      <c r="AI475" s="3">
        <v>353</v>
      </c>
      <c r="AJ475" s="3" t="str">
        <f>IFERROR(MID(VLOOKUP($B475,Seqs!$A:$B,2,0),AK475,1),"")</f>
        <v>G</v>
      </c>
      <c r="AK475" s="3">
        <v>357</v>
      </c>
      <c r="AL475" s="3" t="str">
        <f>IFERROR(MID(VLOOKUP($B475,Seqs!$A:$B,2,0),AM475,1),"")</f>
        <v>A</v>
      </c>
      <c r="AM475" s="3">
        <v>394</v>
      </c>
      <c r="AN475" s="3" t="str">
        <f>IFERROR(MID(VLOOKUP($B475,Seqs!$A:$B,2,0),AO475,1),"")</f>
        <v>T</v>
      </c>
      <c r="AO475" s="3">
        <v>399</v>
      </c>
      <c r="AP475" s="3" t="str">
        <f>IFERROR(MID(VLOOKUP($B475,Seqs!$A:$B,2,0),AQ475,1),"")</f>
        <v>F</v>
      </c>
      <c r="AQ475" s="3">
        <v>424</v>
      </c>
      <c r="AR475" s="3" t="str">
        <f>IFERROR(MID(VLOOKUP($B475,Seqs!$A:$B,2,0),AS475,1),"")</f>
        <v>G</v>
      </c>
      <c r="AS475" s="3">
        <v>434</v>
      </c>
      <c r="AT475" s="3" t="str">
        <f>IFERROR(MID(VLOOKUP($B475,Seqs!$A:$B,2,0),AU475,1),"")</f>
        <v>C</v>
      </c>
      <c r="AU475" s="3">
        <v>462</v>
      </c>
      <c r="AV475" s="3" t="str">
        <f>IFERROR(MID(VLOOKUP($B475,Seqs!$A:$B,2,0),AW475,1),"")</f>
        <v>N</v>
      </c>
      <c r="AW475" s="3">
        <v>463</v>
      </c>
      <c r="AX475" s="3" t="str">
        <f>IFERROR(MID(VLOOKUP($B475,Seqs!$A:$B,2,0),AY475,1),"")</f>
        <v>D</v>
      </c>
      <c r="AY475" s="3">
        <v>482</v>
      </c>
      <c r="AZ475" s="77" t="str">
        <f>VLOOKUP(B475,Classification!A:D,2,0)</f>
        <v>B1</v>
      </c>
      <c r="BA475" s="94" t="str">
        <f>VLOOKUP(B475,Classification!A:D,4,0)</f>
        <v>Parathyroidhormone</v>
      </c>
      <c r="BB475" s="27" t="b">
        <f t="shared" ref="BB475" si="4753">AND(E475&lt;G475,OR(G475&lt;I475,I475="-"),OR(I475&lt;K475,I475="-"),OR(K475&lt;M475,K475="-"),M475&lt;O475,OR(O475&lt;Q475,Q475="-"),OR(Q475&lt;S475,Q475="-"),OR(S475&lt;U475,S475="-"),U475&lt;W475,OR(W475&lt;Y475,Y475="-"),OR(Y475&lt;AA475,Y475="-"),OR(AA475&lt;AC475,AA475="-"),AC475&lt;AE475,OR(AE475&lt;AG475,AG475="-"),OR(AG475&lt;AI475,AG475="-"),OR(AI475&lt;AK475,AI475="-"),AK475&lt;AM475,AM475&lt;AO475,AO475&lt;AQ475,AQ475&lt;AS475,AS475&lt;AU475,OR(AU475&lt;AW475,AW475="-"),OR(AW475&lt;AY475,AW475="-"))</f>
        <v>1</v>
      </c>
      <c r="BC475" s="23">
        <f t="shared" ref="BC475" si="4754">_xlfn.AGGREGATE(9,6,CH475:CS475)-_xlfn.AGGREGATE(9,6,BV475:CG475)+12</f>
        <v>267</v>
      </c>
      <c r="BD475" s="4" t="s">
        <v>1371</v>
      </c>
      <c r="BE475" s="3" t="s">
        <v>1287</v>
      </c>
      <c r="BF475" s="118">
        <v>4</v>
      </c>
      <c r="BG475" s="49" t="s">
        <v>1418</v>
      </c>
      <c r="BH475" s="49" t="s">
        <v>1418</v>
      </c>
      <c r="BI475" s="1"/>
      <c r="BJ475" s="70" t="s">
        <v>1283</v>
      </c>
      <c r="BK475" s="57" t="s">
        <v>1283</v>
      </c>
      <c r="BL475" s="57" t="s">
        <v>1283</v>
      </c>
      <c r="BM475" s="57" t="s">
        <v>1283</v>
      </c>
      <c r="BN475" s="57" t="s">
        <v>1283</v>
      </c>
      <c r="BO475" s="57" t="s">
        <v>1283</v>
      </c>
      <c r="BP475" s="57" t="s">
        <v>1283</v>
      </c>
      <c r="BQ475" s="57" t="s">
        <v>1283</v>
      </c>
      <c r="BR475" s="57" t="s">
        <v>1283</v>
      </c>
      <c r="BS475" s="57" t="s">
        <v>1283</v>
      </c>
      <c r="BT475" s="57" t="s">
        <v>1283</v>
      </c>
      <c r="BU475" s="57" t="s">
        <v>1283</v>
      </c>
      <c r="BV475" s="70">
        <f t="shared" ref="BV475" si="4755">E475</f>
        <v>173</v>
      </c>
      <c r="BW475" s="71">
        <f t="shared" ref="BW475" si="4756">I475</f>
        <v>213</v>
      </c>
      <c r="BX475" s="72">
        <f t="shared" ref="BX475" si="4757">M475</f>
        <v>217</v>
      </c>
      <c r="BY475" s="71" t="str">
        <f t="shared" ref="BY475" si="4758">Q475</f>
        <v>-</v>
      </c>
      <c r="BZ475" s="72">
        <f t="shared" ref="BZ475" si="4759">U475</f>
        <v>273</v>
      </c>
      <c r="CA475" s="71" t="str">
        <f t="shared" ref="CA475" si="4760">Y475</f>
        <v>-</v>
      </c>
      <c r="CB475" s="72">
        <f t="shared" ref="CB475" si="4761">AC475</f>
        <v>316</v>
      </c>
      <c r="CC475" s="71">
        <f t="shared" ref="CC475" si="4762">AG475</f>
        <v>351</v>
      </c>
      <c r="CD475" s="72">
        <f t="shared" ref="CD475" si="4763">AK475</f>
        <v>357</v>
      </c>
      <c r="CE475" s="71">
        <f t="shared" ref="CE475" si="4764">AO475</f>
        <v>399</v>
      </c>
      <c r="CF475" s="72">
        <f t="shared" ref="CF475" si="4765">AS475</f>
        <v>434</v>
      </c>
      <c r="CG475" s="71">
        <f t="shared" ref="CG475" si="4766">AW475</f>
        <v>463</v>
      </c>
      <c r="CH475" s="70">
        <f t="shared" ref="CH475" si="4767">G475</f>
        <v>212</v>
      </c>
      <c r="CI475" s="71">
        <f t="shared" ref="CI475" si="4768">K475</f>
        <v>216</v>
      </c>
      <c r="CJ475" s="72">
        <f t="shared" ref="CJ475" si="4769">O475</f>
        <v>250</v>
      </c>
      <c r="CK475" s="72" t="str">
        <f t="shared" ref="CK475" si="4770">S475</f>
        <v>-</v>
      </c>
      <c r="CL475" s="72">
        <f t="shared" ref="CL475" si="4771">W475</f>
        <v>311</v>
      </c>
      <c r="CM475" s="72" t="str">
        <f t="shared" ref="CM475" si="4772">AA475</f>
        <v>-</v>
      </c>
      <c r="CN475" s="72">
        <f t="shared" ref="CN475" si="4773">AE475</f>
        <v>347</v>
      </c>
      <c r="CO475" s="72">
        <f t="shared" ref="CO475" si="4774">AI475</f>
        <v>353</v>
      </c>
      <c r="CP475" s="72">
        <f t="shared" ref="CP475" si="4775">AM475</f>
        <v>394</v>
      </c>
      <c r="CQ475" s="72">
        <f t="shared" ref="CQ475" si="4776">AQ475</f>
        <v>424</v>
      </c>
      <c r="CR475" s="72">
        <f t="shared" ref="CR475" si="4777">AU475</f>
        <v>462</v>
      </c>
      <c r="CS475" s="72">
        <f t="shared" ref="CS475" si="4778">AY475</f>
        <v>482</v>
      </c>
      <c r="CT475" s="23">
        <f t="shared" ref="CT475" si="4779">M475-K475</f>
        <v>1</v>
      </c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  <c r="AMO475" s="1"/>
    </row>
    <row r="476" spans="1:1029" s="12" customFormat="1" x14ac:dyDescent="0.2">
      <c r="A476" s="9" t="str">
        <f t="shared" ref="A476:A477" si="4780">CONCATENATE(B476,"_",C476)</f>
        <v>sctr_human__wt</v>
      </c>
      <c r="B476" s="9" t="s">
        <v>410</v>
      </c>
      <c r="C476" s="9" t="s">
        <v>100</v>
      </c>
      <c r="D476" s="9" t="str">
        <f>IFERROR(MID(VLOOKUP($B476,Seqs!$A:$B,2,0),E476,1),"")</f>
        <v>S</v>
      </c>
      <c r="E476" s="9">
        <v>131</v>
      </c>
      <c r="F476" s="9" t="str">
        <f>IFERROR(MID(VLOOKUP($B476,Seqs!$A:$B,2,0),G476,1),"")</f>
        <v>F</v>
      </c>
      <c r="G476" s="9">
        <v>167</v>
      </c>
      <c r="H476" s="9" t="str">
        <f>IFERROR(MID(VLOOKUP($B476,Seqs!$A:$B,2,0),I476,1),"")</f>
        <v>R</v>
      </c>
      <c r="I476" s="109">
        <v>168</v>
      </c>
      <c r="J476" s="9" t="str">
        <f>IFERROR(MID(VLOOKUP($B476,Seqs!$A:$B,2,0),K476,1),"")</f>
        <v>H</v>
      </c>
      <c r="K476" s="109">
        <v>171</v>
      </c>
      <c r="L476" s="9" t="str">
        <f>IFERROR(MID(VLOOKUP($B476,Seqs!$A:$B,2,0),M476,1),"")</f>
        <v>C</v>
      </c>
      <c r="M476" s="109">
        <v>172</v>
      </c>
      <c r="N476" s="9" t="str">
        <f>IFERROR(MID(VLOOKUP($B476,Seqs!$A:$B,2,0),O476,1),"")</f>
        <v>L</v>
      </c>
      <c r="O476" s="9">
        <v>199</v>
      </c>
      <c r="P476" s="9" t="str">
        <f>IFERROR(MID(VLOOKUP($B476,Seqs!$A:$B,2,0),Q476,1),"")</f>
        <v/>
      </c>
      <c r="Q476" s="9" t="s">
        <v>23</v>
      </c>
      <c r="R476" s="9" t="str">
        <f>IFERROR(MID(VLOOKUP($B476,Seqs!$A:$B,2,0),S476,1),"")</f>
        <v/>
      </c>
      <c r="S476" s="9" t="s">
        <v>23</v>
      </c>
      <c r="T476" s="9" t="str">
        <f>IFERROR(MID(VLOOKUP($B476,Seqs!$A:$B,2,0),U476,1),"")</f>
        <v>R</v>
      </c>
      <c r="U476" s="9">
        <v>212</v>
      </c>
      <c r="V476" s="9" t="str">
        <f>IFERROR(MID(VLOOKUP($B476,Seqs!$A:$B,2,0),W476,1),"")</f>
        <v>I</v>
      </c>
      <c r="W476" s="9">
        <v>246</v>
      </c>
      <c r="X476" s="9" t="str">
        <f>IFERROR(MID(VLOOKUP($B476,Seqs!$A:$B,2,0),Y476,1),"")</f>
        <v/>
      </c>
      <c r="Y476" s="9" t="s">
        <v>23</v>
      </c>
      <c r="Z476" s="9" t="str">
        <f>IFERROR(MID(VLOOKUP($B476,Seqs!$A:$B,2,0),AA476,1),"")</f>
        <v/>
      </c>
      <c r="AA476" s="9" t="s">
        <v>23</v>
      </c>
      <c r="AB476" s="9" t="str">
        <f>IFERROR(MID(VLOOKUP($B476,Seqs!$A:$B,2,0),AC476,1),"")</f>
        <v>K</v>
      </c>
      <c r="AC476" s="9">
        <v>253</v>
      </c>
      <c r="AD476" s="9" t="str">
        <f>IFERROR(MID(VLOOKUP($B476,Seqs!$A:$B,2,0),AE476,1),"")</f>
        <v>E</v>
      </c>
      <c r="AE476" s="9">
        <v>281</v>
      </c>
      <c r="AF476" s="9" t="str">
        <f>IFERROR(MID(VLOOKUP($B476,Seqs!$A:$B,2,0),AG476,1),"")</f>
        <v>C</v>
      </c>
      <c r="AG476" s="9">
        <v>285</v>
      </c>
      <c r="AH476" s="9" t="str">
        <f>IFERROR(MID(VLOOKUP($B476,Seqs!$A:$B,2,0),AI476,1),"")</f>
        <v>D</v>
      </c>
      <c r="AI476" s="9">
        <v>287</v>
      </c>
      <c r="AJ476" s="9" t="str">
        <f>IFERROR(MID(VLOOKUP($B476,Seqs!$A:$B,2,0),AK476,1),"")</f>
        <v>N</v>
      </c>
      <c r="AK476" s="9">
        <v>291</v>
      </c>
      <c r="AL476" s="9" t="str">
        <f>IFERROR(MID(VLOOKUP($B476,Seqs!$A:$B,2,0),AM476,1),"")</f>
        <v>T</v>
      </c>
      <c r="AM476" s="9">
        <v>326</v>
      </c>
      <c r="AN476" s="9" t="str">
        <f>IFERROR(MID(VLOOKUP($B476,Seqs!$A:$B,2,0),AO476,1),"")</f>
        <v>N</v>
      </c>
      <c r="AO476" s="9">
        <v>332</v>
      </c>
      <c r="AP476" s="9" t="str">
        <f>IFERROR(MID(VLOOKUP($B476,Seqs!$A:$B,2,0),AQ476,1),"")</f>
        <v>S</v>
      </c>
      <c r="AQ476" s="9">
        <v>361</v>
      </c>
      <c r="AR476" s="9" t="str">
        <f>IFERROR(MID(VLOOKUP($B476,Seqs!$A:$B,2,0),AS476,1),"")</f>
        <v>A</v>
      </c>
      <c r="AS476" s="9">
        <v>365</v>
      </c>
      <c r="AT476" s="9" t="str">
        <f>IFERROR(MID(VLOOKUP($B476,Seqs!$A:$B,2,0),AU476,1),"")</f>
        <v>L</v>
      </c>
      <c r="AU476" s="9">
        <v>391</v>
      </c>
      <c r="AV476" s="9" t="str">
        <f>IFERROR(MID(VLOOKUP($B476,Seqs!$A:$B,2,0),AW476,1),"")</f>
        <v>N</v>
      </c>
      <c r="AW476" s="9">
        <v>392</v>
      </c>
      <c r="AX476" s="9" t="str">
        <f>IFERROR(MID(VLOOKUP($B476,Seqs!$A:$B,2,0),AY476,1),"")</f>
        <v>A</v>
      </c>
      <c r="AY476" s="9">
        <v>417</v>
      </c>
      <c r="AZ476" s="110" t="str">
        <f>VLOOKUP(B476,Classification!A:D,2,0)</f>
        <v>B1</v>
      </c>
      <c r="BA476" s="98" t="str">
        <f>VLOOKUP(B476,Classification!A:D,4,0)</f>
        <v>Glucagonreceptorfamily</v>
      </c>
      <c r="BB476" s="36" t="b">
        <f t="shared" ref="BB476:BB477" si="4781">AND(E476&lt;G476,OR(G476&lt;I476,I476="-"),OR(I476&lt;K476,I476="-"),OR(K476&lt;M476,K476="-"),M476&lt;O476,OR(O476&lt;Q476,Q476="-"),OR(Q476&lt;S476,Q476="-"),OR(S476&lt;U476,S476="-"),U476&lt;W476,OR(W476&lt;Y476,Y476="-"),OR(Y476&lt;AA476,Y476="-"),OR(AA476&lt;AC476,AA476="-"),AC476&lt;AE476,OR(AE476&lt;AG476,AG476="-"),OR(AG476&lt;AI476,AG476="-"),OR(AI476&lt;AK476,AI476="-"),AK476&lt;AM476,AM476&lt;AO476,AO476&lt;AQ476,AQ476&lt;AS476,AS476&lt;AU476,OR(AU476&lt;AW476,AW476="-"),OR(AW476&lt;AY476,AW476="-"))</f>
        <v>1</v>
      </c>
      <c r="BC476" s="109">
        <f t="shared" ref="BC476:BC477" si="4782">_xlfn.AGGREGATE(9,6,CH476:CS476)-_xlfn.AGGREGATE(9,6,BV476:CG476)+12</f>
        <v>257</v>
      </c>
      <c r="BD476" s="11" t="s">
        <v>23</v>
      </c>
      <c r="BE476" s="9" t="s">
        <v>23</v>
      </c>
      <c r="BF476" s="119" t="s">
        <v>23</v>
      </c>
      <c r="BG476" s="51" t="s">
        <v>23</v>
      </c>
      <c r="BH476" s="51" t="s">
        <v>23</v>
      </c>
      <c r="BJ476" s="111" t="s">
        <v>1283</v>
      </c>
      <c r="BK476" s="112" t="s">
        <v>1283</v>
      </c>
      <c r="BL476" s="112" t="s">
        <v>1283</v>
      </c>
      <c r="BM476" s="112" t="s">
        <v>1283</v>
      </c>
      <c r="BN476" s="112" t="s">
        <v>1283</v>
      </c>
      <c r="BO476" s="112" t="s">
        <v>1283</v>
      </c>
      <c r="BP476" s="112" t="s">
        <v>1283</v>
      </c>
      <c r="BQ476" s="112" t="s">
        <v>1283</v>
      </c>
      <c r="BR476" s="112" t="s">
        <v>1283</v>
      </c>
      <c r="BS476" s="112" t="s">
        <v>1283</v>
      </c>
      <c r="BT476" s="112" t="s">
        <v>1283</v>
      </c>
      <c r="BU476" s="112" t="s">
        <v>1283</v>
      </c>
      <c r="BV476" s="111">
        <f t="shared" ref="BV476:BV477" si="4783">E476</f>
        <v>131</v>
      </c>
      <c r="BW476" s="113">
        <f t="shared" ref="BW476:BW477" si="4784">I476</f>
        <v>168</v>
      </c>
      <c r="BX476" s="114">
        <f t="shared" ref="BX476:BX477" si="4785">M476</f>
        <v>172</v>
      </c>
      <c r="BY476" s="113" t="str">
        <f t="shared" ref="BY476:BY477" si="4786">Q476</f>
        <v>-</v>
      </c>
      <c r="BZ476" s="114">
        <f t="shared" ref="BZ476:BZ477" si="4787">U476</f>
        <v>212</v>
      </c>
      <c r="CA476" s="113" t="str">
        <f t="shared" ref="CA476:CA477" si="4788">Y476</f>
        <v>-</v>
      </c>
      <c r="CB476" s="114">
        <f t="shared" ref="CB476:CB477" si="4789">AC476</f>
        <v>253</v>
      </c>
      <c r="CC476" s="113">
        <f t="shared" ref="CC476:CC477" si="4790">AG476</f>
        <v>285</v>
      </c>
      <c r="CD476" s="114">
        <f t="shared" ref="CD476:CD477" si="4791">AK476</f>
        <v>291</v>
      </c>
      <c r="CE476" s="113">
        <f t="shared" ref="CE476:CE477" si="4792">AO476</f>
        <v>332</v>
      </c>
      <c r="CF476" s="114">
        <f t="shared" ref="CF476:CF477" si="4793">AS476</f>
        <v>365</v>
      </c>
      <c r="CG476" s="113">
        <f t="shared" ref="CG476:CG477" si="4794">AW476</f>
        <v>392</v>
      </c>
      <c r="CH476" s="111">
        <f t="shared" ref="CH476:CH477" si="4795">G476</f>
        <v>167</v>
      </c>
      <c r="CI476" s="113">
        <f t="shared" ref="CI476:CI477" si="4796">K476</f>
        <v>171</v>
      </c>
      <c r="CJ476" s="114">
        <f t="shared" ref="CJ476:CJ477" si="4797">O476</f>
        <v>199</v>
      </c>
      <c r="CK476" s="114" t="str">
        <f t="shared" ref="CK476:CK477" si="4798">S476</f>
        <v>-</v>
      </c>
      <c r="CL476" s="114">
        <f t="shared" ref="CL476:CL477" si="4799">W476</f>
        <v>246</v>
      </c>
      <c r="CM476" s="114" t="str">
        <f t="shared" ref="CM476:CM477" si="4800">AA476</f>
        <v>-</v>
      </c>
      <c r="CN476" s="114">
        <f t="shared" ref="CN476:CN477" si="4801">AE476</f>
        <v>281</v>
      </c>
      <c r="CO476" s="114">
        <f t="shared" ref="CO476:CO477" si="4802">AI476</f>
        <v>287</v>
      </c>
      <c r="CP476" s="114">
        <f t="shared" ref="CP476:CP477" si="4803">AM476</f>
        <v>326</v>
      </c>
      <c r="CQ476" s="114">
        <f t="shared" ref="CQ476:CQ477" si="4804">AQ476</f>
        <v>361</v>
      </c>
      <c r="CR476" s="114">
        <f t="shared" ref="CR476:CR477" si="4805">AU476</f>
        <v>391</v>
      </c>
      <c r="CS476" s="114">
        <f t="shared" ref="CS476:CS477" si="4806">AY476</f>
        <v>417</v>
      </c>
      <c r="CT476" s="109">
        <f t="shared" ref="CT476:CT477" si="4807">M476-K476</f>
        <v>1</v>
      </c>
    </row>
    <row r="477" spans="1:1029" s="12" customFormat="1" x14ac:dyDescent="0.2">
      <c r="A477" s="9" t="str">
        <f t="shared" si="4780"/>
        <v>sctr_human_6WI9</v>
      </c>
      <c r="B477" s="9" t="s">
        <v>410</v>
      </c>
      <c r="C477" s="9" t="s">
        <v>1703</v>
      </c>
      <c r="D477" s="9" t="str">
        <f>IFERROR(MID(VLOOKUP($B477,Seqs!$A:$B,2,0),E477,1),"")</f>
        <v>S</v>
      </c>
      <c r="E477" s="9">
        <v>131</v>
      </c>
      <c r="F477" s="9" t="str">
        <f>IFERROR(MID(VLOOKUP($B477,Seqs!$A:$B,2,0),G477,1),"")</f>
        <v>I</v>
      </c>
      <c r="G477" s="9">
        <v>163</v>
      </c>
      <c r="H477" s="9" t="str">
        <f>IFERROR(MID(VLOOKUP($B477,Seqs!$A:$B,2,0),I477,1),"")</f>
        <v/>
      </c>
      <c r="I477" s="109" t="s">
        <v>23</v>
      </c>
      <c r="J477" s="9" t="str">
        <f>IFERROR(MID(VLOOKUP($B477,Seqs!$A:$B,2,0),K477,1),"")</f>
        <v/>
      </c>
      <c r="K477" s="109" t="s">
        <v>23</v>
      </c>
      <c r="L477" s="9" t="str">
        <f>IFERROR(MID(VLOOKUP($B477,Seqs!$A:$B,2,0),M477,1),"")</f>
        <v>C</v>
      </c>
      <c r="M477" s="109">
        <v>172</v>
      </c>
      <c r="N477" s="9" t="str">
        <f>IFERROR(MID(VLOOKUP($B477,Seqs!$A:$B,2,0),O477,1),"")</f>
        <v>F</v>
      </c>
      <c r="O477" s="9">
        <v>200</v>
      </c>
      <c r="P477" s="9" t="str">
        <f>IFERROR(MID(VLOOKUP($B477,Seqs!$A:$B,2,0),Q477,1),"")</f>
        <v/>
      </c>
      <c r="Q477" s="9" t="s">
        <v>23</v>
      </c>
      <c r="R477" s="9" t="str">
        <f>IFERROR(MID(VLOOKUP($B477,Seqs!$A:$B,2,0),S477,1),"")</f>
        <v/>
      </c>
      <c r="S477" s="9" t="s">
        <v>23</v>
      </c>
      <c r="T477" s="9" t="str">
        <f>IFERROR(MID(VLOOKUP($B477,Seqs!$A:$B,2,0),U477,1),"")</f>
        <v>R</v>
      </c>
      <c r="U477" s="9">
        <v>212</v>
      </c>
      <c r="V477" s="9" t="str">
        <f>IFERROR(MID(VLOOKUP($B477,Seqs!$A:$B,2,0),W477,1),"")</f>
        <v>I</v>
      </c>
      <c r="W477" s="9">
        <v>246</v>
      </c>
      <c r="X477" s="9" t="str">
        <f>IFERROR(MID(VLOOKUP($B477,Seqs!$A:$B,2,0),Y477,1),"")</f>
        <v/>
      </c>
      <c r="Y477" s="9" t="s">
        <v>23</v>
      </c>
      <c r="Z477" s="9" t="str">
        <f>IFERROR(MID(VLOOKUP($B477,Seqs!$A:$B,2,0),AA477,1),"")</f>
        <v/>
      </c>
      <c r="AA477" s="9" t="s">
        <v>23</v>
      </c>
      <c r="AB477" s="9" t="str">
        <f>IFERROR(MID(VLOOKUP($B477,Seqs!$A:$B,2,0),AC477,1),"")</f>
        <v>K</v>
      </c>
      <c r="AC477" s="9">
        <v>253</v>
      </c>
      <c r="AD477" s="9" t="str">
        <f>IFERROR(MID(VLOOKUP($B477,Seqs!$A:$B,2,0),AE477,1),"")</f>
        <v>L</v>
      </c>
      <c r="AE477" s="9">
        <v>280</v>
      </c>
      <c r="AF477" s="9" t="str">
        <f>IFERROR(MID(VLOOKUP($B477,Seqs!$A:$B,2,0),AG477,1),"")</f>
        <v>C</v>
      </c>
      <c r="AG477" s="9">
        <v>285</v>
      </c>
      <c r="AH477" s="9" t="str">
        <f>IFERROR(MID(VLOOKUP($B477,Seqs!$A:$B,2,0),AI477,1),"")</f>
        <v>D</v>
      </c>
      <c r="AI477" s="9">
        <v>287</v>
      </c>
      <c r="AJ477" s="9" t="str">
        <f>IFERROR(MID(VLOOKUP($B477,Seqs!$A:$B,2,0),AK477,1),"")</f>
        <v>W</v>
      </c>
      <c r="AK477" s="9">
        <v>295</v>
      </c>
      <c r="AL477" s="9" t="str">
        <f>IFERROR(MID(VLOOKUP($B477,Seqs!$A:$B,2,0),AM477,1),"")</f>
        <v>T</v>
      </c>
      <c r="AM477" s="9">
        <v>326</v>
      </c>
      <c r="AN477" s="9" t="str">
        <f>IFERROR(MID(VLOOKUP($B477,Seqs!$A:$B,2,0),AO477,1),"")</f>
        <v>S</v>
      </c>
      <c r="AO477" s="9">
        <v>335</v>
      </c>
      <c r="AP477" s="9" t="str">
        <f>IFERROR(MID(VLOOKUP($B477,Seqs!$A:$B,2,0),AQ477,1),"")</f>
        <v>A</v>
      </c>
      <c r="AQ477" s="9">
        <v>359</v>
      </c>
      <c r="AR477" s="9" t="str">
        <f>IFERROR(MID(VLOOKUP($B477,Seqs!$A:$B,2,0),AS477,1),"")</f>
        <v>M</v>
      </c>
      <c r="AS477" s="9">
        <v>366</v>
      </c>
      <c r="AT477" s="9" t="str">
        <f>IFERROR(MID(VLOOKUP($B477,Seqs!$A:$B,2,0),AU477,1),"")</f>
        <v>L</v>
      </c>
      <c r="AU477" s="9">
        <v>391</v>
      </c>
      <c r="AV477" s="9" t="str">
        <f>IFERROR(MID(VLOOKUP($B477,Seqs!$A:$B,2,0),AW477,1),"")</f>
        <v>N</v>
      </c>
      <c r="AW477" s="9">
        <v>392</v>
      </c>
      <c r="AX477" s="9" t="str">
        <f>IFERROR(MID(VLOOKUP($B477,Seqs!$A:$B,2,0),AY477,1),"")</f>
        <v>L</v>
      </c>
      <c r="AY477" s="9">
        <v>408</v>
      </c>
      <c r="AZ477" s="110" t="str">
        <f>VLOOKUP(B477,Classification!A:D,2,0)</f>
        <v>B1</v>
      </c>
      <c r="BA477" s="98" t="str">
        <f>VLOOKUP(B477,Classification!A:D,4,0)</f>
        <v>Glucagonreceptorfamily</v>
      </c>
      <c r="BB477" s="36" t="b">
        <f t="shared" si="4781"/>
        <v>1</v>
      </c>
      <c r="BC477" s="109">
        <f t="shared" si="4782"/>
        <v>231</v>
      </c>
      <c r="BD477" s="11" t="s">
        <v>23</v>
      </c>
      <c r="BE477" s="9" t="s">
        <v>1287</v>
      </c>
      <c r="BF477" s="119">
        <v>4.3</v>
      </c>
      <c r="BG477" s="51" t="s">
        <v>1418</v>
      </c>
      <c r="BH477" s="51" t="s">
        <v>1418</v>
      </c>
      <c r="BJ477" s="111" t="s">
        <v>1283</v>
      </c>
      <c r="BK477" s="112" t="s">
        <v>1283</v>
      </c>
      <c r="BL477" s="112" t="s">
        <v>1283</v>
      </c>
      <c r="BM477" s="112" t="s">
        <v>1283</v>
      </c>
      <c r="BN477" s="112" t="s">
        <v>1283</v>
      </c>
      <c r="BO477" s="112" t="s">
        <v>1283</v>
      </c>
      <c r="BP477" s="112" t="s">
        <v>1283</v>
      </c>
      <c r="BQ477" s="112" t="s">
        <v>1283</v>
      </c>
      <c r="BR477" s="112" t="s">
        <v>1283</v>
      </c>
      <c r="BS477" s="112" t="s">
        <v>1283</v>
      </c>
      <c r="BT477" s="112" t="s">
        <v>1283</v>
      </c>
      <c r="BU477" s="112" t="s">
        <v>1283</v>
      </c>
      <c r="BV477" s="111">
        <f t="shared" si="4783"/>
        <v>131</v>
      </c>
      <c r="BW477" s="113" t="str">
        <f t="shared" si="4784"/>
        <v>-</v>
      </c>
      <c r="BX477" s="114">
        <f t="shared" si="4785"/>
        <v>172</v>
      </c>
      <c r="BY477" s="113" t="str">
        <f t="shared" si="4786"/>
        <v>-</v>
      </c>
      <c r="BZ477" s="114">
        <f t="shared" si="4787"/>
        <v>212</v>
      </c>
      <c r="CA477" s="113" t="str">
        <f t="shared" si="4788"/>
        <v>-</v>
      </c>
      <c r="CB477" s="114">
        <f t="shared" si="4789"/>
        <v>253</v>
      </c>
      <c r="CC477" s="113">
        <f t="shared" si="4790"/>
        <v>285</v>
      </c>
      <c r="CD477" s="114">
        <f t="shared" si="4791"/>
        <v>295</v>
      </c>
      <c r="CE477" s="113">
        <f t="shared" si="4792"/>
        <v>335</v>
      </c>
      <c r="CF477" s="114">
        <f t="shared" si="4793"/>
        <v>366</v>
      </c>
      <c r="CG477" s="113">
        <f t="shared" si="4794"/>
        <v>392</v>
      </c>
      <c r="CH477" s="111">
        <f t="shared" si="4795"/>
        <v>163</v>
      </c>
      <c r="CI477" s="113" t="str">
        <f t="shared" si="4796"/>
        <v>-</v>
      </c>
      <c r="CJ477" s="114">
        <f t="shared" si="4797"/>
        <v>200</v>
      </c>
      <c r="CK477" s="114" t="str">
        <f t="shared" si="4798"/>
        <v>-</v>
      </c>
      <c r="CL477" s="114">
        <f t="shared" si="4799"/>
        <v>246</v>
      </c>
      <c r="CM477" s="114" t="str">
        <f t="shared" si="4800"/>
        <v>-</v>
      </c>
      <c r="CN477" s="114">
        <f t="shared" si="4801"/>
        <v>280</v>
      </c>
      <c r="CO477" s="114">
        <f t="shared" si="4802"/>
        <v>287</v>
      </c>
      <c r="CP477" s="114">
        <f t="shared" si="4803"/>
        <v>326</v>
      </c>
      <c r="CQ477" s="114">
        <f t="shared" si="4804"/>
        <v>359</v>
      </c>
      <c r="CR477" s="114">
        <f t="shared" si="4805"/>
        <v>391</v>
      </c>
      <c r="CS477" s="114">
        <f t="shared" si="4806"/>
        <v>408</v>
      </c>
      <c r="CT477" s="109" t="e">
        <f t="shared" si="4807"/>
        <v>#VALUE!</v>
      </c>
    </row>
    <row r="478" spans="1:1029" s="12" customFormat="1" x14ac:dyDescent="0.2">
      <c r="A478" s="9" t="str">
        <f t="shared" ref="A478:A482" si="4808">CONCATENATE(B478,"_",C478)</f>
        <v>sctr_human_6WZG</v>
      </c>
      <c r="B478" s="9" t="s">
        <v>410</v>
      </c>
      <c r="C478" s="9" t="s">
        <v>1704</v>
      </c>
      <c r="D478" s="9" t="str">
        <f>IFERROR(MID(VLOOKUP($B478,Seqs!$A:$B,2,0),E478,1),"")</f>
        <v>N</v>
      </c>
      <c r="E478" s="9">
        <v>132</v>
      </c>
      <c r="F478" s="9" t="str">
        <f>IFERROR(MID(VLOOKUP($B478,Seqs!$A:$B,2,0),G478,1),"")</f>
        <v>F</v>
      </c>
      <c r="G478" s="9">
        <v>167</v>
      </c>
      <c r="H478" s="9" t="str">
        <f>IFERROR(MID(VLOOKUP($B478,Seqs!$A:$B,2,0),I478,1),"")</f>
        <v>R</v>
      </c>
      <c r="I478" s="109">
        <v>168</v>
      </c>
      <c r="J478" s="9" t="str">
        <f>IFERROR(MID(VLOOKUP($B478,Seqs!$A:$B,2,0),K478,1),"")</f>
        <v>H</v>
      </c>
      <c r="K478" s="109">
        <v>171</v>
      </c>
      <c r="L478" s="9" t="str">
        <f>IFERROR(MID(VLOOKUP($B478,Seqs!$A:$B,2,0),M478,1),"")</f>
        <v>C</v>
      </c>
      <c r="M478" s="109">
        <v>172</v>
      </c>
      <c r="N478" s="9" t="str">
        <f>IFERROR(MID(VLOOKUP($B478,Seqs!$A:$B,2,0),O478,1),"")</f>
        <v>F</v>
      </c>
      <c r="O478" s="9">
        <v>200</v>
      </c>
      <c r="P478" s="9" t="str">
        <f>IFERROR(MID(VLOOKUP($B478,Seqs!$A:$B,2,0),Q478,1),"")</f>
        <v/>
      </c>
      <c r="Q478" s="9" t="s">
        <v>23</v>
      </c>
      <c r="R478" s="9" t="str">
        <f>IFERROR(MID(VLOOKUP($B478,Seqs!$A:$B,2,0),S478,1),"")</f>
        <v/>
      </c>
      <c r="S478" s="9" t="s">
        <v>23</v>
      </c>
      <c r="T478" s="9" t="str">
        <f>IFERROR(MID(VLOOKUP($B478,Seqs!$A:$B,2,0),U478,1),"")</f>
        <v>H</v>
      </c>
      <c r="U478" s="9">
        <v>211</v>
      </c>
      <c r="V478" s="9" t="str">
        <f>IFERROR(MID(VLOOKUP($B478,Seqs!$A:$B,2,0),W478,1),"")</f>
        <v>I</v>
      </c>
      <c r="W478" s="9">
        <v>246</v>
      </c>
      <c r="X478" s="9" t="str">
        <f>IFERROR(MID(VLOOKUP($B478,Seqs!$A:$B,2,0),Y478,1),"")</f>
        <v/>
      </c>
      <c r="Y478" s="9" t="s">
        <v>23</v>
      </c>
      <c r="Z478" s="9" t="str">
        <f>IFERROR(MID(VLOOKUP($B478,Seqs!$A:$B,2,0),AA478,1),"")</f>
        <v/>
      </c>
      <c r="AA478" s="9" t="s">
        <v>23</v>
      </c>
      <c r="AB478" s="9" t="str">
        <f>IFERROR(MID(VLOOKUP($B478,Seqs!$A:$B,2,0),AC478,1),"")</f>
        <v>Y</v>
      </c>
      <c r="AC478" s="9">
        <v>254</v>
      </c>
      <c r="AD478" s="9" t="str">
        <f>IFERROR(MID(VLOOKUP($B478,Seqs!$A:$B,2,0),AE478,1),"")</f>
        <v>L</v>
      </c>
      <c r="AE478" s="9">
        <v>280</v>
      </c>
      <c r="AF478" s="9" t="str">
        <f>IFERROR(MID(VLOOKUP($B478,Seqs!$A:$B,2,0),AG478,1),"")</f>
        <v>C</v>
      </c>
      <c r="AG478" s="9">
        <v>285</v>
      </c>
      <c r="AH478" s="9" t="str">
        <f>IFERROR(MID(VLOOKUP($B478,Seqs!$A:$B,2,0),AI478,1),"")</f>
        <v>D</v>
      </c>
      <c r="AI478" s="9">
        <v>287</v>
      </c>
      <c r="AJ478" s="9" t="str">
        <f>IFERROR(MID(VLOOKUP($B478,Seqs!$A:$B,2,0),AK478,1),"")</f>
        <v>N</v>
      </c>
      <c r="AK478" s="9">
        <v>291</v>
      </c>
      <c r="AL478" s="9" t="str">
        <f>IFERROR(MID(VLOOKUP($B478,Seqs!$A:$B,2,0),AM478,1),"")</f>
        <v>T</v>
      </c>
      <c r="AM478" s="9">
        <v>326</v>
      </c>
      <c r="AN478" s="9" t="str">
        <f>IFERROR(MID(VLOOKUP($B478,Seqs!$A:$B,2,0),AO478,1),"")</f>
        <v>N</v>
      </c>
      <c r="AO478" s="9">
        <v>332</v>
      </c>
      <c r="AP478" s="9" t="str">
        <f>IFERROR(MID(VLOOKUP($B478,Seqs!$A:$B,2,0),AQ478,1),"")</f>
        <v>A</v>
      </c>
      <c r="AQ478" s="9">
        <v>359</v>
      </c>
      <c r="AR478" s="9" t="str">
        <f>IFERROR(MID(VLOOKUP($B478,Seqs!$A:$B,2,0),AS478,1),"")</f>
        <v>A</v>
      </c>
      <c r="AS478" s="9">
        <v>365</v>
      </c>
      <c r="AT478" s="9" t="str">
        <f>IFERROR(MID(VLOOKUP($B478,Seqs!$A:$B,2,0),AU478,1),"")</f>
        <v>L</v>
      </c>
      <c r="AU478" s="9">
        <v>391</v>
      </c>
      <c r="AV478" s="9" t="str">
        <f>IFERROR(MID(VLOOKUP($B478,Seqs!$A:$B,2,0),AW478,1),"")</f>
        <v>N</v>
      </c>
      <c r="AW478" s="9">
        <v>392</v>
      </c>
      <c r="AX478" s="9" t="str">
        <f>IFERROR(MID(VLOOKUP($B478,Seqs!$A:$B,2,0),AY478,1),"")</f>
        <v>L</v>
      </c>
      <c r="AY478" s="9">
        <v>408</v>
      </c>
      <c r="AZ478" s="110" t="str">
        <f>VLOOKUP(B478,Classification!A:D,2,0)</f>
        <v>B1</v>
      </c>
      <c r="BA478" s="98" t="str">
        <f>VLOOKUP(B478,Classification!A:D,4,0)</f>
        <v>Glucagonreceptorfamily</v>
      </c>
      <c r="BB478" s="36" t="b">
        <f t="shared" ref="BB478:BB482" si="4809">AND(E478&lt;G478,OR(G478&lt;I478,I478="-"),OR(I478&lt;K478,I478="-"),OR(K478&lt;M478,K478="-"),M478&lt;O478,OR(O478&lt;Q478,Q478="-"),OR(Q478&lt;S478,Q478="-"),OR(S478&lt;U478,S478="-"),U478&lt;W478,OR(W478&lt;Y478,Y478="-"),OR(Y478&lt;AA478,Y478="-"),OR(AA478&lt;AC478,AA478="-"),AC478&lt;AE478,OR(AE478&lt;AG478,AG478="-"),OR(AG478&lt;AI478,AG478="-"),OR(AI478&lt;AK478,AI478="-"),AK478&lt;AM478,AM478&lt;AO478,AO478&lt;AQ478,AQ478&lt;AS478,AS478&lt;AU478,OR(AU478&lt;AW478,AW478="-"),OR(AW478&lt;AY478,AW478="-"))</f>
        <v>1</v>
      </c>
      <c r="BC478" s="109">
        <f t="shared" ref="BC478:BC482" si="4810">_xlfn.AGGREGATE(9,6,CH478:CS478)-_xlfn.AGGREGATE(9,6,BV478:CG478)+12</f>
        <v>245</v>
      </c>
      <c r="BD478" s="11" t="s">
        <v>1371</v>
      </c>
      <c r="BE478" s="9" t="s">
        <v>1287</v>
      </c>
      <c r="BF478" s="119">
        <v>2.2999999999999998</v>
      </c>
      <c r="BG478" s="51" t="s">
        <v>1418</v>
      </c>
      <c r="BH478" s="51" t="s">
        <v>1418</v>
      </c>
      <c r="BJ478" s="111" t="s">
        <v>1283</v>
      </c>
      <c r="BK478" s="112" t="s">
        <v>1283</v>
      </c>
      <c r="BL478" s="112" t="s">
        <v>1283</v>
      </c>
      <c r="BM478" s="112" t="s">
        <v>1283</v>
      </c>
      <c r="BN478" s="112" t="s">
        <v>1283</v>
      </c>
      <c r="BO478" s="112" t="s">
        <v>1283</v>
      </c>
      <c r="BP478" s="112" t="s">
        <v>1283</v>
      </c>
      <c r="BQ478" s="112" t="s">
        <v>1283</v>
      </c>
      <c r="BR478" s="112" t="s">
        <v>1283</v>
      </c>
      <c r="BS478" s="112" t="s">
        <v>1283</v>
      </c>
      <c r="BT478" s="112" t="s">
        <v>1283</v>
      </c>
      <c r="BU478" s="112" t="s">
        <v>1283</v>
      </c>
      <c r="BV478" s="111">
        <f t="shared" ref="BV478:BV482" si="4811">E478</f>
        <v>132</v>
      </c>
      <c r="BW478" s="113">
        <f t="shared" ref="BW478:BW482" si="4812">I478</f>
        <v>168</v>
      </c>
      <c r="BX478" s="114">
        <f t="shared" ref="BX478:BX482" si="4813">M478</f>
        <v>172</v>
      </c>
      <c r="BY478" s="113" t="str">
        <f t="shared" ref="BY478:BY482" si="4814">Q478</f>
        <v>-</v>
      </c>
      <c r="BZ478" s="114">
        <f t="shared" ref="BZ478:BZ482" si="4815">U478</f>
        <v>211</v>
      </c>
      <c r="CA478" s="113" t="str">
        <f t="shared" ref="CA478:CA482" si="4816">Y478</f>
        <v>-</v>
      </c>
      <c r="CB478" s="114">
        <f t="shared" ref="CB478:CB482" si="4817">AC478</f>
        <v>254</v>
      </c>
      <c r="CC478" s="113">
        <f t="shared" ref="CC478:CC482" si="4818">AG478</f>
        <v>285</v>
      </c>
      <c r="CD478" s="114">
        <f t="shared" ref="CD478:CD482" si="4819">AK478</f>
        <v>291</v>
      </c>
      <c r="CE478" s="113">
        <f t="shared" ref="CE478:CE482" si="4820">AO478</f>
        <v>332</v>
      </c>
      <c r="CF478" s="114">
        <f t="shared" ref="CF478:CF482" si="4821">AS478</f>
        <v>365</v>
      </c>
      <c r="CG478" s="113">
        <f t="shared" ref="CG478:CG482" si="4822">AW478</f>
        <v>392</v>
      </c>
      <c r="CH478" s="111">
        <f t="shared" ref="CH478:CH482" si="4823">G478</f>
        <v>167</v>
      </c>
      <c r="CI478" s="113">
        <f t="shared" ref="CI478:CI482" si="4824">K478</f>
        <v>171</v>
      </c>
      <c r="CJ478" s="114">
        <f t="shared" ref="CJ478:CJ482" si="4825">O478</f>
        <v>200</v>
      </c>
      <c r="CK478" s="114" t="str">
        <f t="shared" ref="CK478:CK482" si="4826">S478</f>
        <v>-</v>
      </c>
      <c r="CL478" s="114">
        <f t="shared" ref="CL478:CL482" si="4827">W478</f>
        <v>246</v>
      </c>
      <c r="CM478" s="114" t="str">
        <f t="shared" ref="CM478:CM482" si="4828">AA478</f>
        <v>-</v>
      </c>
      <c r="CN478" s="114">
        <f t="shared" ref="CN478:CN482" si="4829">AE478</f>
        <v>280</v>
      </c>
      <c r="CO478" s="114">
        <f t="shared" ref="CO478:CO482" si="4830">AI478</f>
        <v>287</v>
      </c>
      <c r="CP478" s="114">
        <f t="shared" ref="CP478:CP482" si="4831">AM478</f>
        <v>326</v>
      </c>
      <c r="CQ478" s="114">
        <f t="shared" ref="CQ478:CQ482" si="4832">AQ478</f>
        <v>359</v>
      </c>
      <c r="CR478" s="114">
        <f t="shared" ref="CR478:CR482" si="4833">AU478</f>
        <v>391</v>
      </c>
      <c r="CS478" s="114">
        <f t="shared" ref="CS478:CS482" si="4834">AY478</f>
        <v>408</v>
      </c>
      <c r="CT478" s="109">
        <f t="shared" ref="CT478:CT482" si="4835">M478-K478</f>
        <v>1</v>
      </c>
    </row>
    <row r="479" spans="1:1029" s="12" customFormat="1" x14ac:dyDescent="0.2">
      <c r="A479" s="9" t="str">
        <f t="shared" ref="A479:A480" si="4836">CONCATENATE(B479,"_",C479)</f>
        <v>gabr1_human__wt</v>
      </c>
      <c r="B479" s="9" t="s">
        <v>106</v>
      </c>
      <c r="C479" s="9" t="s">
        <v>100</v>
      </c>
      <c r="D479" s="9" t="str">
        <f>IFERROR(MID(VLOOKUP($B479,Seqs!$A:$B,2,0),E479,1),"")</f>
        <v>K</v>
      </c>
      <c r="E479" s="9">
        <v>590</v>
      </c>
      <c r="F479" s="9" t="str">
        <f>IFERROR(MID(VLOOKUP($B479,Seqs!$A:$B,2,0),G479,1),"")</f>
        <v>N</v>
      </c>
      <c r="G479" s="9">
        <v>616</v>
      </c>
      <c r="H479" s="9" t="str">
        <f>IFERROR(MID(VLOOKUP($B479,Seqs!$A:$B,2,0),I479,1),"")</f>
        <v>V</v>
      </c>
      <c r="I479" s="109">
        <v>619</v>
      </c>
      <c r="J479" s="9" t="str">
        <f>IFERROR(MID(VLOOKUP($B479,Seqs!$A:$B,2,0),K479,1),"")</f>
        <v>S</v>
      </c>
      <c r="K479" s="109">
        <v>625</v>
      </c>
      <c r="L479" s="9" t="str">
        <f>IFERROR(MID(VLOOKUP($B479,Seqs!$A:$B,2,0),M479,1),"")</f>
        <v>Q</v>
      </c>
      <c r="M479" s="9">
        <v>626</v>
      </c>
      <c r="N479" s="9" t="str">
        <f>IFERROR(MID(VLOOKUP($B479,Seqs!$A:$B,2,0),O479,1),"")</f>
        <v>L</v>
      </c>
      <c r="O479" s="9">
        <v>649</v>
      </c>
      <c r="P479" s="9" t="str">
        <f>IFERROR(MID(VLOOKUP($B479,Seqs!$A:$B,2,0),Q479,1),"")</f>
        <v/>
      </c>
      <c r="Q479" s="9" t="s">
        <v>23</v>
      </c>
      <c r="R479" s="9" t="str">
        <f>IFERROR(MID(VLOOKUP($B479,Seqs!$A:$B,2,0),S479,1),"")</f>
        <v/>
      </c>
      <c r="S479" s="9" t="s">
        <v>23</v>
      </c>
      <c r="T479" s="9" t="str">
        <f>IFERROR(MID(VLOOKUP($B479,Seqs!$A:$B,2,0),U479,1),"")</f>
        <v>Q</v>
      </c>
      <c r="U479" s="9">
        <v>658</v>
      </c>
      <c r="V479" s="9" t="str">
        <f>IFERROR(MID(VLOOKUP($B479,Seqs!$A:$B,2,0),W479,1),"")</f>
        <v>F</v>
      </c>
      <c r="W479" s="9">
        <v>692</v>
      </c>
      <c r="X479" s="9" t="str">
        <f>IFERROR(MID(VLOOKUP($B479,Seqs!$A:$B,2,0),Y479,1),"")</f>
        <v/>
      </c>
      <c r="Y479" s="9" t="s">
        <v>23</v>
      </c>
      <c r="Z479" s="9" t="str">
        <f>IFERROR(MID(VLOOKUP($B479,Seqs!$A:$B,2,0),AA479,1),"")</f>
        <v/>
      </c>
      <c r="AA479" s="9" t="s">
        <v>23</v>
      </c>
      <c r="AB479" s="9" t="str">
        <f>IFERROR(MID(VLOOKUP($B479,Seqs!$A:$B,2,0),AC479,1),"")</f>
        <v>E</v>
      </c>
      <c r="AC479" s="9">
        <v>706</v>
      </c>
      <c r="AD479" s="9" t="str">
        <f>IFERROR(MID(VLOOKUP($B479,Seqs!$A:$B,2,0),AE479,1),"")</f>
        <v>D</v>
      </c>
      <c r="AE479" s="9">
        <v>732</v>
      </c>
      <c r="AF479" s="9" t="str">
        <f>IFERROR(MID(VLOOKUP($B479,Seqs!$A:$B,2,0),AG479,1),"")</f>
        <v>C</v>
      </c>
      <c r="AG479" s="9">
        <v>761</v>
      </c>
      <c r="AH479" s="9" t="str">
        <f>IFERROR(MID(VLOOKUP($B479,Seqs!$A:$B,2,0),AI479,1),"")</f>
        <v>S</v>
      </c>
      <c r="AI479" s="9">
        <v>763</v>
      </c>
      <c r="AJ479" s="9" t="str">
        <f>IFERROR(MID(VLOOKUP($B479,Seqs!$A:$B,2,0),AK479,1),"")</f>
        <v>K</v>
      </c>
      <c r="AK479" s="9">
        <v>765</v>
      </c>
      <c r="AL479" s="9" t="str">
        <f>IFERROR(MID(VLOOKUP($B479,Seqs!$A:$B,2,0),AM479,1),"")</f>
        <v>K</v>
      </c>
      <c r="AM479" s="9">
        <v>792</v>
      </c>
      <c r="AN479" s="9" t="str">
        <f>IFERROR(MID(VLOOKUP($B479,Seqs!$A:$B,2,0),AO479,1),"")</f>
        <v>D</v>
      </c>
      <c r="AO479" s="9">
        <v>801</v>
      </c>
      <c r="AP479" s="9" t="str">
        <f>IFERROR(MID(VLOOKUP($B479,Seqs!$A:$B,2,0),AQ479,1),"")</f>
        <v>L</v>
      </c>
      <c r="AQ479" s="9">
        <v>826</v>
      </c>
      <c r="AR479" s="9" t="str">
        <f>IFERROR(MID(VLOOKUP($B479,Seqs!$A:$B,2,0),AS479,1),"")</f>
        <v>A</v>
      </c>
      <c r="AS479" s="9">
        <v>832</v>
      </c>
      <c r="AT479" s="9" t="str">
        <f>IFERROR(MID(VLOOKUP($B479,Seqs!$A:$B,2,0),AU479,1),"")</f>
        <v>R</v>
      </c>
      <c r="AU479" s="9">
        <v>863</v>
      </c>
      <c r="AV479" s="9" t="str">
        <f>IFERROR(MID(VLOOKUP($B479,Seqs!$A:$B,2,0),AW479,1),"")</f>
        <v>G</v>
      </c>
      <c r="AW479" s="9">
        <v>864</v>
      </c>
      <c r="AX479" s="9" t="str">
        <f>IFERROR(MID(VLOOKUP($B479,Seqs!$A:$B,2,0),AY479,1),"")</f>
        <v>K</v>
      </c>
      <c r="AY479" s="9">
        <v>875</v>
      </c>
      <c r="AZ479" s="110" t="str">
        <f>VLOOKUP(B479,Classification!A:D,2,0)</f>
        <v>C</v>
      </c>
      <c r="BA479" s="98" t="str">
        <f>VLOOKUP(B479,Classification!A:D,4,0)</f>
        <v>GABA&lt;sub&gt;B&lt;/sub&gt;</v>
      </c>
      <c r="BB479" s="36" t="b">
        <f t="shared" ref="BB479:BB480" si="4837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109">
        <f t="shared" ref="BC479:BC480" si="4838">_xlfn.AGGREGATE(9,6,CH479:CS479)-_xlfn.AGGREGATE(9,6,BV479:CG479)+12</f>
        <v>223</v>
      </c>
      <c r="BD479" s="127" t="s">
        <v>23</v>
      </c>
      <c r="BE479" s="9" t="s">
        <v>23</v>
      </c>
      <c r="BF479" s="119" t="s">
        <v>23</v>
      </c>
      <c r="BG479" s="51" t="s">
        <v>23</v>
      </c>
      <c r="BH479" s="51" t="s">
        <v>23</v>
      </c>
      <c r="BI479" s="9"/>
      <c r="BJ479" s="111" t="s">
        <v>1283</v>
      </c>
      <c r="BK479" s="112" t="s">
        <v>1283</v>
      </c>
      <c r="BL479" s="112" t="s">
        <v>1283</v>
      </c>
      <c r="BM479" s="112" t="s">
        <v>1283</v>
      </c>
      <c r="BN479" s="112" t="s">
        <v>1283</v>
      </c>
      <c r="BO479" s="112" t="s">
        <v>1283</v>
      </c>
      <c r="BP479" s="112" t="s">
        <v>1283</v>
      </c>
      <c r="BQ479" s="112" t="s">
        <v>1283</v>
      </c>
      <c r="BR479" s="112" t="s">
        <v>1283</v>
      </c>
      <c r="BS479" s="112" t="s">
        <v>1283</v>
      </c>
      <c r="BT479" s="112" t="s">
        <v>1283</v>
      </c>
      <c r="BU479" s="112" t="s">
        <v>1283</v>
      </c>
      <c r="BV479" s="111">
        <f t="shared" ref="BV479:BV480" si="4839">E479</f>
        <v>590</v>
      </c>
      <c r="BW479" s="113">
        <f t="shared" ref="BW479:BW480" si="4840">I479</f>
        <v>619</v>
      </c>
      <c r="BX479" s="114">
        <f t="shared" ref="BX479:BX480" si="4841">M479</f>
        <v>626</v>
      </c>
      <c r="BY479" s="113" t="str">
        <f t="shared" ref="BY479:BY480" si="4842">Q479</f>
        <v>-</v>
      </c>
      <c r="BZ479" s="114">
        <f t="shared" ref="BZ479:BZ480" si="4843">U479</f>
        <v>658</v>
      </c>
      <c r="CA479" s="113" t="str">
        <f t="shared" ref="CA479:CA480" si="4844">Y479</f>
        <v>-</v>
      </c>
      <c r="CB479" s="114">
        <f t="shared" ref="CB479:CB480" si="4845">AC479</f>
        <v>706</v>
      </c>
      <c r="CC479" s="113">
        <f t="shared" ref="CC479:CC480" si="4846">AG479</f>
        <v>761</v>
      </c>
      <c r="CD479" s="114">
        <f t="shared" ref="CD479:CD480" si="4847">AK479</f>
        <v>765</v>
      </c>
      <c r="CE479" s="113">
        <f t="shared" ref="CE479:CE480" si="4848">AO479</f>
        <v>801</v>
      </c>
      <c r="CF479" s="114">
        <f t="shared" ref="CF479:CF480" si="4849">AS479</f>
        <v>832</v>
      </c>
      <c r="CG479" s="113">
        <f t="shared" ref="CG479:CG480" si="4850">AW479</f>
        <v>864</v>
      </c>
      <c r="CH479" s="111">
        <f t="shared" ref="CH479:CH480" si="4851">G479</f>
        <v>616</v>
      </c>
      <c r="CI479" s="113">
        <f t="shared" ref="CI479:CI480" si="4852">K479</f>
        <v>625</v>
      </c>
      <c r="CJ479" s="114">
        <f t="shared" ref="CJ479:CJ480" si="4853">O479</f>
        <v>649</v>
      </c>
      <c r="CK479" s="114" t="str">
        <f t="shared" ref="CK479:CK480" si="4854">S479</f>
        <v>-</v>
      </c>
      <c r="CL479" s="114">
        <f t="shared" ref="CL479:CL480" si="4855">W479</f>
        <v>692</v>
      </c>
      <c r="CM479" s="114" t="str">
        <f t="shared" ref="CM479:CM480" si="4856">AA479</f>
        <v>-</v>
      </c>
      <c r="CN479" s="114">
        <f t="shared" ref="CN479:CN480" si="4857">AE479</f>
        <v>732</v>
      </c>
      <c r="CO479" s="114">
        <f t="shared" ref="CO479:CO480" si="4858">AI479</f>
        <v>763</v>
      </c>
      <c r="CP479" s="114">
        <f t="shared" ref="CP479:CP480" si="4859">AM479</f>
        <v>792</v>
      </c>
      <c r="CQ479" s="114">
        <f t="shared" ref="CQ479:CQ480" si="4860">AQ479</f>
        <v>826</v>
      </c>
      <c r="CR479" s="114">
        <f t="shared" ref="CR479:CR480" si="4861">AU479</f>
        <v>863</v>
      </c>
      <c r="CS479" s="114">
        <f t="shared" ref="CS479:CS480" si="4862">AY479</f>
        <v>875</v>
      </c>
      <c r="CT479" s="109">
        <f t="shared" ref="CT479:CT480" si="4863">M479-K479</f>
        <v>1</v>
      </c>
    </row>
    <row r="480" spans="1:1029" s="12" customFormat="1" x14ac:dyDescent="0.2">
      <c r="A480" s="9" t="str">
        <f t="shared" si="4836"/>
        <v>gabr1_human_6W2Y</v>
      </c>
      <c r="B480" s="9" t="s">
        <v>106</v>
      </c>
      <c r="C480" s="9" t="s">
        <v>1715</v>
      </c>
      <c r="D480" s="9" t="str">
        <f>IFERROR(MID(VLOOKUP($B480,Seqs!$A:$B,2,0),E480,1),"")</f>
        <v>A</v>
      </c>
      <c r="E480" s="9">
        <v>473</v>
      </c>
      <c r="F480" s="9" t="str">
        <f>IFERROR(MID(VLOOKUP($B480,Seqs!$A:$B,2,0),G480,1),"")</f>
        <v>N</v>
      </c>
      <c r="G480" s="9">
        <v>499</v>
      </c>
      <c r="H480" s="9" t="str">
        <f>IFERROR(MID(VLOOKUP($B480,Seqs!$A:$B,2,0),I480,1),"")</f>
        <v>N</v>
      </c>
      <c r="I480" s="109">
        <v>502</v>
      </c>
      <c r="J480" s="9" t="str">
        <f>IFERROR(MID(VLOOKUP($B480,Seqs!$A:$B,2,0),K480,1),"")</f>
        <v>D</v>
      </c>
      <c r="K480" s="109">
        <v>507</v>
      </c>
      <c r="L480" s="9" t="str">
        <f>IFERROR(MID(VLOOKUP($B480,Seqs!$A:$B,2,0),M480,1),"")</f>
        <v>I</v>
      </c>
      <c r="M480" s="9">
        <v>509</v>
      </c>
      <c r="N480" s="9" t="str">
        <f>IFERROR(MID(VLOOKUP($B480,Seqs!$A:$B,2,0),O480,1),"")</f>
        <v>S</v>
      </c>
      <c r="O480" s="9">
        <v>532</v>
      </c>
      <c r="P480" s="9" t="str">
        <f>IFERROR(MID(VLOOKUP($B480,Seqs!$A:$B,2,0),Q480,1),"")</f>
        <v/>
      </c>
      <c r="Q480" s="9" t="s">
        <v>23</v>
      </c>
      <c r="R480" s="9" t="str">
        <f>IFERROR(MID(VLOOKUP($B480,Seqs!$A:$B,2,0),S480,1),"")</f>
        <v/>
      </c>
      <c r="S480" s="9" t="s">
        <v>23</v>
      </c>
      <c r="T480" s="9" t="str">
        <f>IFERROR(MID(VLOOKUP($B480,Seqs!$A:$B,2,0),U480,1),"")</f>
        <v>Q</v>
      </c>
      <c r="U480" s="9">
        <v>541</v>
      </c>
      <c r="V480" s="9" t="str">
        <f>IFERROR(MID(VLOOKUP($B480,Seqs!$A:$B,2,0),W480,1),"")</f>
        <v>A</v>
      </c>
      <c r="W480" s="9">
        <v>575</v>
      </c>
      <c r="X480" s="9" t="str">
        <f>IFERROR(MID(VLOOKUP($B480,Seqs!$A:$B,2,0),Y480,1),"")</f>
        <v/>
      </c>
      <c r="Y480" s="9" t="s">
        <v>23</v>
      </c>
      <c r="Z480" s="9" t="str">
        <f>IFERROR(MID(VLOOKUP($B480,Seqs!$A:$B,2,0),AA480,1),"")</f>
        <v/>
      </c>
      <c r="AA480" s="9" t="s">
        <v>23</v>
      </c>
      <c r="AB480" s="9" t="str">
        <f>IFERROR(MID(VLOOKUP($B480,Seqs!$A:$B,2,0),AC480,1),"")</f>
        <v>L</v>
      </c>
      <c r="AC480" s="9">
        <v>591</v>
      </c>
      <c r="AD480" s="9" t="str">
        <f>IFERROR(MID(VLOOKUP($B480,Seqs!$A:$B,2,0),AE480,1),"")</f>
        <v>Y</v>
      </c>
      <c r="AE480" s="9">
        <v>615</v>
      </c>
      <c r="AF480" s="9" t="str">
        <f>IFERROR(MID(VLOOKUP($B480,Seqs!$A:$B,2,0),AG480,1),"")</f>
        <v>V</v>
      </c>
      <c r="AG480" s="9">
        <v>644</v>
      </c>
      <c r="AH480" s="9" t="str">
        <f>IFERROR(MID(VLOOKUP($B480,Seqs!$A:$B,2,0),AI480,1),"")</f>
        <v>P</v>
      </c>
      <c r="AI480" s="9">
        <v>646</v>
      </c>
      <c r="AJ480" s="9" t="str">
        <f>IFERROR(MID(VLOOKUP($B480,Seqs!$A:$B,2,0),AK480,1),"")</f>
        <v>G</v>
      </c>
      <c r="AK480" s="9">
        <v>648</v>
      </c>
      <c r="AL480" s="9" t="str">
        <f>IFERROR(MID(VLOOKUP($B480,Seqs!$A:$B,2,0),AM480,1),"")</f>
        <v>S</v>
      </c>
      <c r="AM480" s="9">
        <v>675</v>
      </c>
      <c r="AN480" s="9" t="str">
        <f>IFERROR(MID(VLOOKUP($B480,Seqs!$A:$B,2,0),AO480,1),"")</f>
        <v>I</v>
      </c>
      <c r="AO480" s="9">
        <v>685</v>
      </c>
      <c r="AP480" s="9" t="str">
        <f>IFERROR(MID(VLOOKUP($B480,Seqs!$A:$B,2,0),AQ480,1),"")</f>
        <v>K</v>
      </c>
      <c r="AQ480" s="9">
        <v>709</v>
      </c>
      <c r="AR480" s="9" t="str">
        <f>IFERROR(MID(VLOOKUP($B480,Seqs!$A:$B,2,0),AS480,1),"")</f>
        <v>G</v>
      </c>
      <c r="AS480" s="9">
        <v>715</v>
      </c>
      <c r="AT480" s="9" t="str">
        <f>IFERROR(MID(VLOOKUP($B480,Seqs!$A:$B,2,0),AU480,1),"")</f>
        <v>E</v>
      </c>
      <c r="AU480" s="9">
        <v>744</v>
      </c>
      <c r="AV480" s="9" t="str">
        <f>IFERROR(MID(VLOOKUP($B480,Seqs!$A:$B,2,0),AW480,1),"")</f>
        <v/>
      </c>
      <c r="AW480" s="9" t="s">
        <v>23</v>
      </c>
      <c r="AX480" s="9" t="str">
        <f>IFERROR(MID(VLOOKUP($B480,Seqs!$A:$B,2,0),AY480,1),"")</f>
        <v/>
      </c>
      <c r="AY480" s="9" t="s">
        <v>23</v>
      </c>
      <c r="AZ480" s="110" t="str">
        <f>VLOOKUP(B480,Classification!A:D,2,0)</f>
        <v>C</v>
      </c>
      <c r="BA480" s="98" t="str">
        <f>VLOOKUP(B480,Classification!A:D,4,0)</f>
        <v>GABA&lt;sub&gt;B&lt;/sub&gt;</v>
      </c>
      <c r="BB480" s="36" t="b">
        <f t="shared" si="4837"/>
        <v>1</v>
      </c>
      <c r="BC480" s="109">
        <f t="shared" si="4838"/>
        <v>206</v>
      </c>
      <c r="BD480" s="127" t="s">
        <v>1372</v>
      </c>
      <c r="BE480" s="9" t="s">
        <v>1370</v>
      </c>
      <c r="BF480" s="119">
        <v>3.2</v>
      </c>
      <c r="BG480" s="51" t="s">
        <v>1277</v>
      </c>
      <c r="BH480" s="51" t="s">
        <v>1277</v>
      </c>
      <c r="BI480" s="9"/>
      <c r="BJ480" s="111" t="s">
        <v>1283</v>
      </c>
      <c r="BK480" s="112" t="s">
        <v>1283</v>
      </c>
      <c r="BL480" s="112" t="s">
        <v>1283</v>
      </c>
      <c r="BM480" s="112" t="s">
        <v>1283</v>
      </c>
      <c r="BN480" s="112" t="s">
        <v>1283</v>
      </c>
      <c r="BO480" s="112" t="s">
        <v>1283</v>
      </c>
      <c r="BP480" s="112" t="s">
        <v>1283</v>
      </c>
      <c r="BQ480" s="112" t="s">
        <v>1283</v>
      </c>
      <c r="BR480" s="112" t="s">
        <v>1283</v>
      </c>
      <c r="BS480" s="112" t="s">
        <v>1283</v>
      </c>
      <c r="BT480" s="112" t="s">
        <v>1283</v>
      </c>
      <c r="BU480" s="112" t="s">
        <v>1283</v>
      </c>
      <c r="BV480" s="111">
        <f t="shared" si="4839"/>
        <v>473</v>
      </c>
      <c r="BW480" s="113">
        <f t="shared" si="4840"/>
        <v>502</v>
      </c>
      <c r="BX480" s="114">
        <f t="shared" si="4841"/>
        <v>509</v>
      </c>
      <c r="BY480" s="113" t="str">
        <f t="shared" si="4842"/>
        <v>-</v>
      </c>
      <c r="BZ480" s="114">
        <f t="shared" si="4843"/>
        <v>541</v>
      </c>
      <c r="CA480" s="113" t="str">
        <f t="shared" si="4844"/>
        <v>-</v>
      </c>
      <c r="CB480" s="114">
        <f t="shared" si="4845"/>
        <v>591</v>
      </c>
      <c r="CC480" s="113">
        <f t="shared" si="4846"/>
        <v>644</v>
      </c>
      <c r="CD480" s="114">
        <f t="shared" si="4847"/>
        <v>648</v>
      </c>
      <c r="CE480" s="113">
        <f t="shared" si="4848"/>
        <v>685</v>
      </c>
      <c r="CF480" s="114">
        <f t="shared" si="4849"/>
        <v>715</v>
      </c>
      <c r="CG480" s="113" t="str">
        <f t="shared" si="4850"/>
        <v>-</v>
      </c>
      <c r="CH480" s="111">
        <f t="shared" si="4851"/>
        <v>499</v>
      </c>
      <c r="CI480" s="113">
        <f t="shared" si="4852"/>
        <v>507</v>
      </c>
      <c r="CJ480" s="114">
        <f t="shared" si="4853"/>
        <v>532</v>
      </c>
      <c r="CK480" s="114" t="str">
        <f t="shared" si="4854"/>
        <v>-</v>
      </c>
      <c r="CL480" s="114">
        <f t="shared" si="4855"/>
        <v>575</v>
      </c>
      <c r="CM480" s="114" t="str">
        <f t="shared" si="4856"/>
        <v>-</v>
      </c>
      <c r="CN480" s="114">
        <f t="shared" si="4857"/>
        <v>615</v>
      </c>
      <c r="CO480" s="114">
        <f t="shared" si="4858"/>
        <v>646</v>
      </c>
      <c r="CP480" s="114">
        <f t="shared" si="4859"/>
        <v>675</v>
      </c>
      <c r="CQ480" s="114">
        <f t="shared" si="4860"/>
        <v>709</v>
      </c>
      <c r="CR480" s="114">
        <f t="shared" si="4861"/>
        <v>744</v>
      </c>
      <c r="CS480" s="114" t="str">
        <f t="shared" si="4862"/>
        <v>-</v>
      </c>
      <c r="CT480" s="109">
        <f t="shared" si="4863"/>
        <v>2</v>
      </c>
    </row>
    <row r="481" spans="1:1030" s="12" customFormat="1" x14ac:dyDescent="0.2">
      <c r="A481" s="9" t="str">
        <f t="shared" si="4808"/>
        <v>gabr2_human__wt</v>
      </c>
      <c r="B481" s="9" t="s">
        <v>107</v>
      </c>
      <c r="C481" s="9" t="s">
        <v>100</v>
      </c>
      <c r="D481" s="9" t="str">
        <f>IFERROR(MID(VLOOKUP($B481,Seqs!$A:$B,2,0),E481,1),"")</f>
        <v>S</v>
      </c>
      <c r="E481" s="9">
        <v>478</v>
      </c>
      <c r="F481" s="9" t="str">
        <f>IFERROR(MID(VLOOKUP($B481,Seqs!$A:$B,2,0),G481,1),"")</f>
        <v>N</v>
      </c>
      <c r="G481" s="9">
        <v>506</v>
      </c>
      <c r="H481" s="9" t="str">
        <f>IFERROR(MID(VLOOKUP($B481,Seqs!$A:$B,2,0),I481,1),"")</f>
        <v>Q</v>
      </c>
      <c r="I481" s="109">
        <v>509</v>
      </c>
      <c r="J481" s="9" t="str">
        <f>IFERROR(MID(VLOOKUP($B481,Seqs!$A:$B,2,0),K481,1),"")</f>
        <v>S</v>
      </c>
      <c r="K481" s="109">
        <v>515</v>
      </c>
      <c r="L481" s="9" t="str">
        <f>IFERROR(MID(VLOOKUP($B481,Seqs!$A:$B,2,0),M481,1),"")</f>
        <v>S</v>
      </c>
      <c r="M481" s="9">
        <v>516</v>
      </c>
      <c r="N481" s="9" t="str">
        <f>IFERROR(MID(VLOOKUP($B481,Seqs!$A:$B,2,0),O481,1),"")</f>
        <v>G</v>
      </c>
      <c r="O481" s="9">
        <v>538</v>
      </c>
      <c r="P481" s="9" t="str">
        <f>IFERROR(MID(VLOOKUP($B481,Seqs!$A:$B,2,0),Q481,1),"")</f>
        <v/>
      </c>
      <c r="Q481" s="9" t="s">
        <v>23</v>
      </c>
      <c r="R481" s="9" t="str">
        <f>IFERROR(MID(VLOOKUP($B481,Seqs!$A:$B,2,0),S481,1),"")</f>
        <v/>
      </c>
      <c r="S481" s="9" t="s">
        <v>23</v>
      </c>
      <c r="T481" s="9" t="str">
        <f>IFERROR(MID(VLOOKUP($B481,Seqs!$A:$B,2,0),U481,1),"")</f>
        <v>S</v>
      </c>
      <c r="U481" s="9">
        <v>545</v>
      </c>
      <c r="V481" s="9" t="str">
        <f>IFERROR(MID(VLOOKUP($B481,Seqs!$A:$B,2,0),W481,1),"")</f>
        <v>K</v>
      </c>
      <c r="W481" s="9">
        <v>583</v>
      </c>
      <c r="X481" s="9" t="str">
        <f>IFERROR(MID(VLOOKUP($B481,Seqs!$A:$B,2,0),Y481,1),"")</f>
        <v/>
      </c>
      <c r="Y481" s="9" t="s">
        <v>23</v>
      </c>
      <c r="Z481" s="9" t="str">
        <f>IFERROR(MID(VLOOKUP($B481,Seqs!$A:$B,2,0),AA481,1),"")</f>
        <v/>
      </c>
      <c r="AA481" s="9" t="s">
        <v>23</v>
      </c>
      <c r="AB481" s="9" t="str">
        <f>IFERROR(MID(VLOOKUP($B481,Seqs!$A:$B,2,0),AC481,1),"")</f>
        <v>K</v>
      </c>
      <c r="AC481" s="9">
        <v>593</v>
      </c>
      <c r="AD481" s="9" t="str">
        <f>IFERROR(MID(VLOOKUP($B481,Seqs!$A:$B,2,0),AE481,1),"")</f>
        <v>D</v>
      </c>
      <c r="AE481" s="9">
        <v>619</v>
      </c>
      <c r="AF481" s="9" t="str">
        <f>IFERROR(MID(VLOOKUP($B481,Seqs!$A:$B,2,0),AG481,1),"")</f>
        <v>C</v>
      </c>
      <c r="AG481" s="9">
        <v>648</v>
      </c>
      <c r="AH481" s="9" t="str">
        <f>IFERROR(MID(VLOOKUP($B481,Seqs!$A:$B,2,0),AI481,1),"")</f>
        <v>N</v>
      </c>
      <c r="AI481" s="9">
        <v>650</v>
      </c>
      <c r="AJ481" s="9" t="str">
        <f>IFERROR(MID(VLOOKUP($B481,Seqs!$A:$B,2,0),AK481,1),"")</f>
        <v>H</v>
      </c>
      <c r="AK481" s="9">
        <v>652</v>
      </c>
      <c r="AL481" s="9" t="str">
        <f>IFERROR(MID(VLOOKUP($B481,Seqs!$A:$B,2,0),AM481,1),"")</f>
        <v>V</v>
      </c>
      <c r="AM481" s="9">
        <v>681</v>
      </c>
      <c r="AN481" s="9" t="str">
        <f>IFERROR(MID(VLOOKUP($B481,Seqs!$A:$B,2,0),AO481,1),"")</f>
        <v>D</v>
      </c>
      <c r="AO481" s="9">
        <v>688</v>
      </c>
      <c r="AP481" s="9" t="str">
        <f>IFERROR(MID(VLOOKUP($B481,Seqs!$A:$B,2,0),AQ481,1),"")</f>
        <v>T</v>
      </c>
      <c r="AQ481" s="9">
        <v>713</v>
      </c>
      <c r="AR481" s="9" t="str">
        <f>IFERROR(MID(VLOOKUP($B481,Seqs!$A:$B,2,0),AS481,1),"")</f>
        <v>Q</v>
      </c>
      <c r="AS481" s="9">
        <v>716</v>
      </c>
      <c r="AT481" s="9" t="str">
        <f>IFERROR(MID(VLOOKUP($B481,Seqs!$A:$B,2,0),AU481,1),"")</f>
        <v>N</v>
      </c>
      <c r="AU481" s="9">
        <v>750</v>
      </c>
      <c r="AV481" s="9" t="str">
        <f>IFERROR(MID(VLOOKUP($B481,Seqs!$A:$B,2,0),AW481,1),"")</f>
        <v>P</v>
      </c>
      <c r="AW481" s="9">
        <v>751</v>
      </c>
      <c r="AX481" s="9" t="str">
        <f>IFERROR(MID(VLOOKUP($B481,Seqs!$A:$B,2,0),AY481,1),"")</f>
        <v>F</v>
      </c>
      <c r="AY481" s="9">
        <v>762</v>
      </c>
      <c r="AZ481" s="110" t="str">
        <f>VLOOKUP(B481,Classification!A:D,2,0)</f>
        <v>C</v>
      </c>
      <c r="BA481" s="98" t="str">
        <f>VLOOKUP(B481,Classification!A:D,4,0)</f>
        <v>GABA&lt;sub&gt;B&lt;/sub&gt;</v>
      </c>
      <c r="BB481" s="36" t="b">
        <f t="shared" si="4809"/>
        <v>1</v>
      </c>
      <c r="BC481" s="109">
        <f t="shared" si="4810"/>
        <v>233</v>
      </c>
      <c r="BD481" s="127" t="s">
        <v>23</v>
      </c>
      <c r="BE481" s="9" t="s">
        <v>23</v>
      </c>
      <c r="BF481" s="119" t="s">
        <v>23</v>
      </c>
      <c r="BG481" s="51" t="s">
        <v>23</v>
      </c>
      <c r="BH481" s="51" t="s">
        <v>23</v>
      </c>
      <c r="BI481" s="9"/>
      <c r="BJ481" s="111" t="s">
        <v>1283</v>
      </c>
      <c r="BK481" s="112" t="s">
        <v>1283</v>
      </c>
      <c r="BL481" s="112" t="s">
        <v>1283</v>
      </c>
      <c r="BM481" s="112" t="s">
        <v>1283</v>
      </c>
      <c r="BN481" s="112" t="s">
        <v>1283</v>
      </c>
      <c r="BO481" s="112" t="s">
        <v>1283</v>
      </c>
      <c r="BP481" s="112" t="s">
        <v>1283</v>
      </c>
      <c r="BQ481" s="112" t="s">
        <v>1283</v>
      </c>
      <c r="BR481" s="112" t="s">
        <v>1283</v>
      </c>
      <c r="BS481" s="112" t="s">
        <v>1283</v>
      </c>
      <c r="BT481" s="112" t="s">
        <v>1283</v>
      </c>
      <c r="BU481" s="112" t="s">
        <v>1283</v>
      </c>
      <c r="BV481" s="111">
        <f t="shared" si="4811"/>
        <v>478</v>
      </c>
      <c r="BW481" s="113">
        <f t="shared" si="4812"/>
        <v>509</v>
      </c>
      <c r="BX481" s="114">
        <f t="shared" si="4813"/>
        <v>516</v>
      </c>
      <c r="BY481" s="113" t="str">
        <f t="shared" si="4814"/>
        <v>-</v>
      </c>
      <c r="BZ481" s="114">
        <f t="shared" si="4815"/>
        <v>545</v>
      </c>
      <c r="CA481" s="113" t="str">
        <f t="shared" si="4816"/>
        <v>-</v>
      </c>
      <c r="CB481" s="114">
        <f t="shared" si="4817"/>
        <v>593</v>
      </c>
      <c r="CC481" s="113">
        <f t="shared" si="4818"/>
        <v>648</v>
      </c>
      <c r="CD481" s="114">
        <f t="shared" si="4819"/>
        <v>652</v>
      </c>
      <c r="CE481" s="113">
        <f t="shared" si="4820"/>
        <v>688</v>
      </c>
      <c r="CF481" s="114">
        <f t="shared" si="4821"/>
        <v>716</v>
      </c>
      <c r="CG481" s="113">
        <f t="shared" si="4822"/>
        <v>751</v>
      </c>
      <c r="CH481" s="111">
        <f t="shared" si="4823"/>
        <v>506</v>
      </c>
      <c r="CI481" s="113">
        <f t="shared" si="4824"/>
        <v>515</v>
      </c>
      <c r="CJ481" s="114">
        <f t="shared" si="4825"/>
        <v>538</v>
      </c>
      <c r="CK481" s="114" t="str">
        <f t="shared" si="4826"/>
        <v>-</v>
      </c>
      <c r="CL481" s="114">
        <f t="shared" si="4827"/>
        <v>583</v>
      </c>
      <c r="CM481" s="114" t="str">
        <f t="shared" si="4828"/>
        <v>-</v>
      </c>
      <c r="CN481" s="114">
        <f t="shared" si="4829"/>
        <v>619</v>
      </c>
      <c r="CO481" s="114">
        <f t="shared" si="4830"/>
        <v>650</v>
      </c>
      <c r="CP481" s="114">
        <f t="shared" si="4831"/>
        <v>681</v>
      </c>
      <c r="CQ481" s="114">
        <f t="shared" si="4832"/>
        <v>713</v>
      </c>
      <c r="CR481" s="114">
        <f t="shared" si="4833"/>
        <v>750</v>
      </c>
      <c r="CS481" s="114">
        <f t="shared" si="4834"/>
        <v>762</v>
      </c>
      <c r="CT481" s="109">
        <f t="shared" si="4835"/>
        <v>1</v>
      </c>
    </row>
    <row r="482" spans="1:1030" s="12" customFormat="1" x14ac:dyDescent="0.2">
      <c r="A482" s="9" t="str">
        <f t="shared" si="4808"/>
        <v>gabr2_human_6UO8</v>
      </c>
      <c r="B482" s="9" t="s">
        <v>107</v>
      </c>
      <c r="C482" s="9" t="s">
        <v>1707</v>
      </c>
      <c r="D482" s="9" t="str">
        <f>IFERROR(MID(VLOOKUP($B482,Seqs!$A:$B,2,0),E482,1),"")</f>
        <v>S</v>
      </c>
      <c r="E482" s="9">
        <v>478</v>
      </c>
      <c r="F482" s="9" t="str">
        <f>IFERROR(MID(VLOOKUP($B482,Seqs!$A:$B,2,0),G482,1),"")</f>
        <v>N</v>
      </c>
      <c r="G482" s="9">
        <v>506</v>
      </c>
      <c r="H482" s="9" t="str">
        <f>IFERROR(MID(VLOOKUP($B482,Seqs!$A:$B,2,0),I482,1),"")</f>
        <v/>
      </c>
      <c r="I482" s="109" t="s">
        <v>23</v>
      </c>
      <c r="J482" s="9" t="str">
        <f>IFERROR(MID(VLOOKUP($B482,Seqs!$A:$B,2,0),K482,1),"")</f>
        <v/>
      </c>
      <c r="K482" s="109" t="s">
        <v>23</v>
      </c>
      <c r="L482" s="9" t="str">
        <f>IFERROR(MID(VLOOKUP($B482,Seqs!$A:$B,2,0),M482,1),"")</f>
        <v>S</v>
      </c>
      <c r="M482" s="9">
        <v>516</v>
      </c>
      <c r="N482" s="9" t="str">
        <f>IFERROR(MID(VLOOKUP($B482,Seqs!$A:$B,2,0),O482,1),"")</f>
        <v>L</v>
      </c>
      <c r="O482" s="9">
        <v>536</v>
      </c>
      <c r="P482" s="9" t="str">
        <f>IFERROR(MID(VLOOKUP($B482,Seqs!$A:$B,2,0),Q482,1),"")</f>
        <v/>
      </c>
      <c r="Q482" s="9" t="s">
        <v>23</v>
      </c>
      <c r="R482" s="9" t="str">
        <f>IFERROR(MID(VLOOKUP($B482,Seqs!$A:$B,2,0),S482,1),"")</f>
        <v/>
      </c>
      <c r="S482" s="9" t="s">
        <v>23</v>
      </c>
      <c r="T482" s="9" t="str">
        <f>IFERROR(MID(VLOOKUP($B482,Seqs!$A:$B,2,0),U482,1),"")</f>
        <v>T</v>
      </c>
      <c r="U482" s="9">
        <v>548</v>
      </c>
      <c r="V482" s="9" t="str">
        <f>IFERROR(MID(VLOOKUP($B482,Seqs!$A:$B,2,0),W482,1),"")</f>
        <v>K</v>
      </c>
      <c r="W482" s="9">
        <v>583</v>
      </c>
      <c r="X482" s="9" t="str">
        <f>IFERROR(MID(VLOOKUP($B482,Seqs!$A:$B,2,0),Y482,1),"")</f>
        <v/>
      </c>
      <c r="Y482" s="9" t="s">
        <v>23</v>
      </c>
      <c r="Z482" s="9" t="str">
        <f>IFERROR(MID(VLOOKUP($B482,Seqs!$A:$B,2,0),AA482,1),"")</f>
        <v/>
      </c>
      <c r="AA482" s="9" t="s">
        <v>23</v>
      </c>
      <c r="AB482" s="9" t="str">
        <f>IFERROR(MID(VLOOKUP($B482,Seqs!$A:$B,2,0),AC482,1),"")</f>
        <v>Q</v>
      </c>
      <c r="AC482" s="9">
        <v>595</v>
      </c>
      <c r="AD482" s="9" t="str">
        <f>IFERROR(MID(VLOOKUP($B482,Seqs!$A:$B,2,0),AE482,1),"")</f>
        <v>Q</v>
      </c>
      <c r="AE482" s="9">
        <v>616</v>
      </c>
      <c r="AF482" s="9" t="str">
        <f>IFERROR(MID(VLOOKUP($B482,Seqs!$A:$B,2,0),AG482,1),"")</f>
        <v>C</v>
      </c>
      <c r="AG482" s="9">
        <v>648</v>
      </c>
      <c r="AH482" s="9" t="str">
        <f>IFERROR(MID(VLOOKUP($B482,Seqs!$A:$B,2,0),AI482,1),"")</f>
        <v>N</v>
      </c>
      <c r="AI482" s="9">
        <v>650</v>
      </c>
      <c r="AJ482" s="9" t="str">
        <f>IFERROR(MID(VLOOKUP($B482,Seqs!$A:$B,2,0),AK482,1),"")</f>
        <v>L</v>
      </c>
      <c r="AK482" s="9">
        <v>657</v>
      </c>
      <c r="AL482" s="9" t="str">
        <f>IFERROR(MID(VLOOKUP($B482,Seqs!$A:$B,2,0),AM482,1),"")</f>
        <v>V</v>
      </c>
      <c r="AM482" s="9">
        <v>681</v>
      </c>
      <c r="AN482" s="9" t="str">
        <f>IFERROR(MID(VLOOKUP($B482,Seqs!$A:$B,2,0),AO482,1),"")</f>
        <v>K</v>
      </c>
      <c r="AO482" s="9">
        <v>690</v>
      </c>
      <c r="AP482" s="9" t="str">
        <f>IFERROR(MID(VLOOKUP($B482,Seqs!$A:$B,2,0),AQ482,1),"")</f>
        <v>T</v>
      </c>
      <c r="AQ482" s="9">
        <v>713</v>
      </c>
      <c r="AR482" s="9" t="str">
        <f>IFERROR(MID(VLOOKUP($B482,Seqs!$A:$B,2,0),AS482,1),"")</f>
        <v>V</v>
      </c>
      <c r="AS482" s="9">
        <v>719</v>
      </c>
      <c r="AT482" s="9" t="str">
        <f>IFERROR(MID(VLOOKUP($B482,Seqs!$A:$B,2,0),AU482,1),"")</f>
        <v>N</v>
      </c>
      <c r="AU482" s="9">
        <v>750</v>
      </c>
      <c r="AV482" s="9" t="str">
        <f>IFERROR(MID(VLOOKUP($B482,Seqs!$A:$B,2,0),AW482,1),"")</f>
        <v/>
      </c>
      <c r="AW482" s="9" t="s">
        <v>23</v>
      </c>
      <c r="AX482" s="9" t="str">
        <f>IFERROR(MID(VLOOKUP($B482,Seqs!$A:$B,2,0),AY482,1),"")</f>
        <v/>
      </c>
      <c r="AY482" s="9" t="s">
        <v>23</v>
      </c>
      <c r="AZ482" s="110" t="str">
        <f>VLOOKUP(B482,Classification!A:D,2,0)</f>
        <v>C</v>
      </c>
      <c r="BA482" s="98" t="str">
        <f>VLOOKUP(B482,Classification!A:D,4,0)</f>
        <v>GABA&lt;sub&gt;B&lt;/sub&gt;</v>
      </c>
      <c r="BB482" s="36" t="b">
        <f t="shared" si="4809"/>
        <v>1</v>
      </c>
      <c r="BC482" s="109">
        <f t="shared" si="4810"/>
        <v>196</v>
      </c>
      <c r="BD482" s="127" t="s">
        <v>23</v>
      </c>
      <c r="BE482" s="9" t="s">
        <v>1287</v>
      </c>
      <c r="BF482" s="119">
        <v>3.63</v>
      </c>
      <c r="BG482" s="51" t="s">
        <v>1277</v>
      </c>
      <c r="BH482" s="51" t="s">
        <v>1277</v>
      </c>
      <c r="BI482" s="9"/>
      <c r="BJ482" s="111" t="s">
        <v>1283</v>
      </c>
      <c r="BK482" s="112" t="s">
        <v>1283</v>
      </c>
      <c r="BL482" s="112" t="s">
        <v>1283</v>
      </c>
      <c r="BM482" s="112" t="s">
        <v>1283</v>
      </c>
      <c r="BN482" s="112" t="s">
        <v>1283</v>
      </c>
      <c r="BO482" s="112" t="s">
        <v>1283</v>
      </c>
      <c r="BP482" s="112" t="s">
        <v>1283</v>
      </c>
      <c r="BQ482" s="112" t="s">
        <v>1283</v>
      </c>
      <c r="BR482" s="112" t="s">
        <v>1283</v>
      </c>
      <c r="BS482" s="112" t="s">
        <v>1283</v>
      </c>
      <c r="BT482" s="112" t="s">
        <v>1283</v>
      </c>
      <c r="BU482" s="112" t="s">
        <v>1283</v>
      </c>
      <c r="BV482" s="111">
        <f t="shared" si="4811"/>
        <v>478</v>
      </c>
      <c r="BW482" s="113" t="str">
        <f t="shared" si="4812"/>
        <v>-</v>
      </c>
      <c r="BX482" s="114">
        <f t="shared" si="4813"/>
        <v>516</v>
      </c>
      <c r="BY482" s="113" t="str">
        <f t="shared" si="4814"/>
        <v>-</v>
      </c>
      <c r="BZ482" s="114">
        <f t="shared" si="4815"/>
        <v>548</v>
      </c>
      <c r="CA482" s="113" t="str">
        <f t="shared" si="4816"/>
        <v>-</v>
      </c>
      <c r="CB482" s="114">
        <f t="shared" si="4817"/>
        <v>595</v>
      </c>
      <c r="CC482" s="113">
        <f t="shared" si="4818"/>
        <v>648</v>
      </c>
      <c r="CD482" s="114">
        <f t="shared" si="4819"/>
        <v>657</v>
      </c>
      <c r="CE482" s="113">
        <f t="shared" si="4820"/>
        <v>690</v>
      </c>
      <c r="CF482" s="114">
        <f t="shared" si="4821"/>
        <v>719</v>
      </c>
      <c r="CG482" s="113" t="str">
        <f t="shared" si="4822"/>
        <v>-</v>
      </c>
      <c r="CH482" s="111">
        <f t="shared" si="4823"/>
        <v>506</v>
      </c>
      <c r="CI482" s="113" t="str">
        <f t="shared" si="4824"/>
        <v>-</v>
      </c>
      <c r="CJ482" s="114">
        <f t="shared" si="4825"/>
        <v>536</v>
      </c>
      <c r="CK482" s="114" t="str">
        <f t="shared" si="4826"/>
        <v>-</v>
      </c>
      <c r="CL482" s="114">
        <f t="shared" si="4827"/>
        <v>583</v>
      </c>
      <c r="CM482" s="114" t="str">
        <f t="shared" si="4828"/>
        <v>-</v>
      </c>
      <c r="CN482" s="114">
        <f t="shared" si="4829"/>
        <v>616</v>
      </c>
      <c r="CO482" s="114">
        <f t="shared" si="4830"/>
        <v>650</v>
      </c>
      <c r="CP482" s="114">
        <f t="shared" si="4831"/>
        <v>681</v>
      </c>
      <c r="CQ482" s="114">
        <f t="shared" si="4832"/>
        <v>713</v>
      </c>
      <c r="CR482" s="114">
        <f t="shared" si="4833"/>
        <v>750</v>
      </c>
      <c r="CS482" s="114" t="str">
        <f t="shared" si="4834"/>
        <v>-</v>
      </c>
      <c r="CT482" s="109" t="e">
        <f t="shared" si="4835"/>
        <v>#VALUE!</v>
      </c>
    </row>
    <row r="483" spans="1:1030" s="12" customFormat="1" x14ac:dyDescent="0.2">
      <c r="A483" s="9" t="str">
        <f t="shared" ref="A483" si="4864">CONCATENATE(B483,"_",C483)</f>
        <v>gabr2_human_6UO9</v>
      </c>
      <c r="B483" s="9" t="s">
        <v>107</v>
      </c>
      <c r="C483" s="9" t="s">
        <v>1709</v>
      </c>
      <c r="D483" s="9" t="str">
        <f>IFERROR(MID(VLOOKUP($B483,Seqs!$A:$B,2,0),E483,1),"")</f>
        <v>S</v>
      </c>
      <c r="E483" s="9">
        <v>478</v>
      </c>
      <c r="F483" s="9" t="str">
        <f>IFERROR(MID(VLOOKUP($B483,Seqs!$A:$B,2,0),G483,1),"")</f>
        <v>N</v>
      </c>
      <c r="G483" s="9">
        <v>506</v>
      </c>
      <c r="H483" s="9" t="str">
        <f>IFERROR(MID(VLOOKUP($B483,Seqs!$A:$B,2,0),I483,1),"")</f>
        <v/>
      </c>
      <c r="I483" s="109" t="s">
        <v>23</v>
      </c>
      <c r="J483" s="9" t="str">
        <f>IFERROR(MID(VLOOKUP($B483,Seqs!$A:$B,2,0),K483,1),"")</f>
        <v/>
      </c>
      <c r="K483" s="109" t="s">
        <v>23</v>
      </c>
      <c r="L483" s="9" t="str">
        <f>IFERROR(MID(VLOOKUP($B483,Seqs!$A:$B,2,0),M483,1),"")</f>
        <v>P</v>
      </c>
      <c r="M483" s="9">
        <v>517</v>
      </c>
      <c r="N483" s="9" t="str">
        <f>IFERROR(MID(VLOOKUP($B483,Seqs!$A:$B,2,0),O483,1),"")</f>
        <v>F</v>
      </c>
      <c r="O483" s="9">
        <v>537</v>
      </c>
      <c r="P483" s="9" t="str">
        <f>IFERROR(MID(VLOOKUP($B483,Seqs!$A:$B,2,0),Q483,1),"")</f>
        <v/>
      </c>
      <c r="Q483" s="9" t="s">
        <v>23</v>
      </c>
      <c r="R483" s="9" t="str">
        <f>IFERROR(MID(VLOOKUP($B483,Seqs!$A:$B,2,0),S483,1),"")</f>
        <v/>
      </c>
      <c r="S483" s="9" t="s">
        <v>23</v>
      </c>
      <c r="T483" s="9" t="str">
        <f>IFERROR(MID(VLOOKUP($B483,Seqs!$A:$B,2,0),U483,1),"")</f>
        <v>T</v>
      </c>
      <c r="U483" s="9">
        <v>548</v>
      </c>
      <c r="V483" s="9" t="str">
        <f>IFERROR(MID(VLOOKUP($B483,Seqs!$A:$B,2,0),W483,1),"")</f>
        <v>F</v>
      </c>
      <c r="W483" s="9">
        <v>582</v>
      </c>
      <c r="X483" s="9" t="str">
        <f>IFERROR(MID(VLOOKUP($B483,Seqs!$A:$B,2,0),Y483,1),"")</f>
        <v/>
      </c>
      <c r="Y483" s="9" t="s">
        <v>23</v>
      </c>
      <c r="Z483" s="9" t="str">
        <f>IFERROR(MID(VLOOKUP($B483,Seqs!$A:$B,2,0),AA483,1),"")</f>
        <v/>
      </c>
      <c r="AA483" s="9" t="s">
        <v>23</v>
      </c>
      <c r="AB483" s="9" t="str">
        <f>IFERROR(MID(VLOOKUP($B483,Seqs!$A:$B,2,0),AC483,1),"")</f>
        <v>Q</v>
      </c>
      <c r="AC483" s="9">
        <v>595</v>
      </c>
      <c r="AD483" s="9" t="str">
        <f>IFERROR(MID(VLOOKUP($B483,Seqs!$A:$B,2,0),AE483,1),"")</f>
        <v>V</v>
      </c>
      <c r="AE483" s="9">
        <v>618</v>
      </c>
      <c r="AF483" s="9" t="str">
        <f>IFERROR(MID(VLOOKUP($B483,Seqs!$A:$B,2,0),AG483,1),"")</f>
        <v>C</v>
      </c>
      <c r="AG483" s="9">
        <v>648</v>
      </c>
      <c r="AH483" s="9" t="str">
        <f>IFERROR(MID(VLOOKUP($B483,Seqs!$A:$B,2,0),AI483,1),"")</f>
        <v>N</v>
      </c>
      <c r="AI483" s="9">
        <v>650</v>
      </c>
      <c r="AJ483" s="9" t="str">
        <f>IFERROR(MID(VLOOKUP($B483,Seqs!$A:$B,2,0),AK483,1),"")</f>
        <v>H</v>
      </c>
      <c r="AK483" s="9">
        <v>652</v>
      </c>
      <c r="AL483" s="9" t="str">
        <f>IFERROR(MID(VLOOKUP($B483,Seqs!$A:$B,2,0),AM483,1),"")</f>
        <v>T</v>
      </c>
      <c r="AM483" s="9">
        <v>678</v>
      </c>
      <c r="AN483" s="9" t="str">
        <f>IFERROR(MID(VLOOKUP($B483,Seqs!$A:$B,2,0),AO483,1),"")</f>
        <v>D</v>
      </c>
      <c r="AO483" s="9">
        <v>688</v>
      </c>
      <c r="AP483" s="9" t="str">
        <f>IFERROR(MID(VLOOKUP($B483,Seqs!$A:$B,2,0),AQ483,1),"")</f>
        <v>T</v>
      </c>
      <c r="AQ483" s="9">
        <v>713</v>
      </c>
      <c r="AR483" s="9" t="str">
        <f>IFERROR(MID(VLOOKUP($B483,Seqs!$A:$B,2,0),AS483,1),"")</f>
        <v>V</v>
      </c>
      <c r="AS483" s="9">
        <v>719</v>
      </c>
      <c r="AT483" s="9" t="str">
        <f>IFERROR(MID(VLOOKUP($B483,Seqs!$A:$B,2,0),AU483,1),"")</f>
        <v>N</v>
      </c>
      <c r="AU483" s="9">
        <v>750</v>
      </c>
      <c r="AV483" s="9" t="str">
        <f>IFERROR(MID(VLOOKUP($B483,Seqs!$A:$B,2,0),AW483,1),"")</f>
        <v/>
      </c>
      <c r="AW483" s="9" t="s">
        <v>23</v>
      </c>
      <c r="AX483" s="9" t="str">
        <f>IFERROR(MID(VLOOKUP($B483,Seqs!$A:$B,2,0),AY483,1),"")</f>
        <v/>
      </c>
      <c r="AY483" s="9" t="s">
        <v>23</v>
      </c>
      <c r="AZ483" s="110" t="str">
        <f>VLOOKUP(B483,Classification!A:D,2,0)</f>
        <v>C</v>
      </c>
      <c r="BA483" s="98" t="str">
        <f>VLOOKUP(B483,Classification!A:D,4,0)</f>
        <v>GABA&lt;sub&gt;B&lt;/sub&gt;</v>
      </c>
      <c r="BB483" s="36" t="b">
        <f t="shared" ref="BB483" si="4865">AND(E483&lt;G483,OR(G483&lt;I483,I483="-"),OR(I483&lt;K483,I483="-"),OR(K483&lt;M483,K483="-"),M483&lt;O483,OR(O483&lt;Q483,Q483="-"),OR(Q483&lt;S483,Q483="-"),OR(S483&lt;U483,S483="-"),U483&lt;W483,OR(W483&lt;Y483,Y483="-"),OR(Y483&lt;AA483,Y483="-"),OR(AA483&lt;AC483,AA483="-"),AC483&lt;AE483,OR(AE483&lt;AG483,AG483="-"),OR(AG483&lt;AI483,AG483="-"),OR(AI483&lt;AK483,AI483="-"),AK483&lt;AM483,AM483&lt;AO483,AO483&lt;AQ483,AQ483&lt;AS483,AS483&lt;AU483,OR(AU483&lt;AW483,AW483="-"),OR(AW483&lt;AY483,AW483="-"))</f>
        <v>1</v>
      </c>
      <c r="BC483" s="109">
        <f t="shared" ref="BC483" si="4866">_xlfn.AGGREGATE(9,6,CH483:CS483)-_xlfn.AGGREGATE(9,6,BV483:CG483)+12</f>
        <v>201</v>
      </c>
      <c r="BD483" s="127" t="s">
        <v>1425</v>
      </c>
      <c r="BE483" s="9" t="s">
        <v>1467</v>
      </c>
      <c r="BF483" s="119">
        <v>4.8</v>
      </c>
      <c r="BG483" s="51" t="s">
        <v>1277</v>
      </c>
      <c r="BH483" s="51" t="s">
        <v>1277</v>
      </c>
      <c r="BI483" s="9"/>
      <c r="BJ483" s="111" t="s">
        <v>1283</v>
      </c>
      <c r="BK483" s="112" t="s">
        <v>1283</v>
      </c>
      <c r="BL483" s="112" t="s">
        <v>1283</v>
      </c>
      <c r="BM483" s="112" t="s">
        <v>1283</v>
      </c>
      <c r="BN483" s="112" t="s">
        <v>1283</v>
      </c>
      <c r="BO483" s="112" t="s">
        <v>1283</v>
      </c>
      <c r="BP483" s="112" t="s">
        <v>1283</v>
      </c>
      <c r="BQ483" s="112" t="s">
        <v>1283</v>
      </c>
      <c r="BR483" s="112" t="s">
        <v>1283</v>
      </c>
      <c r="BS483" s="112" t="s">
        <v>1283</v>
      </c>
      <c r="BT483" s="112" t="s">
        <v>1283</v>
      </c>
      <c r="BU483" s="112" t="s">
        <v>1283</v>
      </c>
      <c r="BV483" s="111">
        <f t="shared" ref="BV483" si="4867">E483</f>
        <v>478</v>
      </c>
      <c r="BW483" s="113" t="str">
        <f t="shared" ref="BW483" si="4868">I483</f>
        <v>-</v>
      </c>
      <c r="BX483" s="114">
        <f t="shared" ref="BX483" si="4869">M483</f>
        <v>517</v>
      </c>
      <c r="BY483" s="113" t="str">
        <f t="shared" ref="BY483" si="4870">Q483</f>
        <v>-</v>
      </c>
      <c r="BZ483" s="114">
        <f t="shared" ref="BZ483" si="4871">U483</f>
        <v>548</v>
      </c>
      <c r="CA483" s="113" t="str">
        <f t="shared" ref="CA483" si="4872">Y483</f>
        <v>-</v>
      </c>
      <c r="CB483" s="114">
        <f t="shared" ref="CB483" si="4873">AC483</f>
        <v>595</v>
      </c>
      <c r="CC483" s="113">
        <f t="shared" ref="CC483" si="4874">AG483</f>
        <v>648</v>
      </c>
      <c r="CD483" s="114">
        <f t="shared" ref="CD483" si="4875">AK483</f>
        <v>652</v>
      </c>
      <c r="CE483" s="113">
        <f t="shared" ref="CE483" si="4876">AO483</f>
        <v>688</v>
      </c>
      <c r="CF483" s="114">
        <f t="shared" ref="CF483" si="4877">AS483</f>
        <v>719</v>
      </c>
      <c r="CG483" s="113" t="str">
        <f t="shared" ref="CG483" si="4878">AW483</f>
        <v>-</v>
      </c>
      <c r="CH483" s="111">
        <f t="shared" ref="CH483" si="4879">G483</f>
        <v>506</v>
      </c>
      <c r="CI483" s="113" t="str">
        <f t="shared" ref="CI483" si="4880">K483</f>
        <v>-</v>
      </c>
      <c r="CJ483" s="114">
        <f t="shared" ref="CJ483" si="4881">O483</f>
        <v>537</v>
      </c>
      <c r="CK483" s="114" t="str">
        <f t="shared" ref="CK483" si="4882">S483</f>
        <v>-</v>
      </c>
      <c r="CL483" s="114">
        <f t="shared" ref="CL483" si="4883">W483</f>
        <v>582</v>
      </c>
      <c r="CM483" s="114" t="str">
        <f t="shared" ref="CM483" si="4884">AA483</f>
        <v>-</v>
      </c>
      <c r="CN483" s="114">
        <f t="shared" ref="CN483" si="4885">AE483</f>
        <v>618</v>
      </c>
      <c r="CO483" s="114">
        <f t="shared" ref="CO483" si="4886">AI483</f>
        <v>650</v>
      </c>
      <c r="CP483" s="114">
        <f t="shared" ref="CP483" si="4887">AM483</f>
        <v>678</v>
      </c>
      <c r="CQ483" s="114">
        <f t="shared" ref="CQ483" si="4888">AQ483</f>
        <v>713</v>
      </c>
      <c r="CR483" s="114">
        <f t="shared" ref="CR483" si="4889">AU483</f>
        <v>750</v>
      </c>
      <c r="CS483" s="114" t="str">
        <f t="shared" ref="CS483" si="4890">AY483</f>
        <v>-</v>
      </c>
      <c r="CT483" s="109" t="e">
        <f t="shared" ref="CT483" si="4891">M483-K483</f>
        <v>#VALUE!</v>
      </c>
    </row>
    <row r="484" spans="1:1030" s="12" customFormat="1" x14ac:dyDescent="0.2">
      <c r="A484" s="9" t="str">
        <f t="shared" ref="A484" si="4892">CONCATENATE(B484,"_",C484)</f>
        <v>gabr2_human_6UOA</v>
      </c>
      <c r="B484" s="9" t="s">
        <v>107</v>
      </c>
      <c r="C484" s="9" t="s">
        <v>1710</v>
      </c>
      <c r="D484" s="9" t="str">
        <f>IFERROR(MID(VLOOKUP($B484,Seqs!$A:$B,2,0),E484,1),"")</f>
        <v>S</v>
      </c>
      <c r="E484" s="9">
        <v>478</v>
      </c>
      <c r="F484" s="9" t="str">
        <f>IFERROR(MID(VLOOKUP($B484,Seqs!$A:$B,2,0),G484,1),"")</f>
        <v>R</v>
      </c>
      <c r="G484" s="9">
        <v>507</v>
      </c>
      <c r="H484" s="9" t="str">
        <f>IFERROR(MID(VLOOKUP($B484,Seqs!$A:$B,2,0),I484,1),"")</f>
        <v/>
      </c>
      <c r="I484" s="109" t="s">
        <v>23</v>
      </c>
      <c r="J484" s="9" t="str">
        <f>IFERROR(MID(VLOOKUP($B484,Seqs!$A:$B,2,0),K484,1),"")</f>
        <v/>
      </c>
      <c r="K484" s="109" t="s">
        <v>23</v>
      </c>
      <c r="L484" s="9" t="str">
        <f>IFERROR(MID(VLOOKUP($B484,Seqs!$A:$B,2,0),M484,1),"")</f>
        <v>Y</v>
      </c>
      <c r="M484" s="9">
        <v>518</v>
      </c>
      <c r="N484" s="9" t="str">
        <f>IFERROR(MID(VLOOKUP($B484,Seqs!$A:$B,2,0),O484,1),"")</f>
        <v>L</v>
      </c>
      <c r="O484" s="9">
        <v>536</v>
      </c>
      <c r="P484" s="9" t="str">
        <f>IFERROR(MID(VLOOKUP($B484,Seqs!$A:$B,2,0),Q484,1),"")</f>
        <v/>
      </c>
      <c r="Q484" s="9" t="s">
        <v>23</v>
      </c>
      <c r="R484" s="9" t="str">
        <f>IFERROR(MID(VLOOKUP($B484,Seqs!$A:$B,2,0),S484,1),"")</f>
        <v/>
      </c>
      <c r="S484" s="9" t="s">
        <v>23</v>
      </c>
      <c r="T484" s="9" t="str">
        <f>IFERROR(MID(VLOOKUP($B484,Seqs!$A:$B,2,0),U484,1),"")</f>
        <v>L</v>
      </c>
      <c r="U484" s="9">
        <v>552</v>
      </c>
      <c r="V484" s="9" t="str">
        <f>IFERROR(MID(VLOOKUP($B484,Seqs!$A:$B,2,0),W484,1),"")</f>
        <v>F</v>
      </c>
      <c r="W484" s="9">
        <v>582</v>
      </c>
      <c r="X484" s="9" t="str">
        <f>IFERROR(MID(VLOOKUP($B484,Seqs!$A:$B,2,0),Y484,1),"")</f>
        <v/>
      </c>
      <c r="Y484" s="9" t="s">
        <v>23</v>
      </c>
      <c r="Z484" s="9" t="str">
        <f>IFERROR(MID(VLOOKUP($B484,Seqs!$A:$B,2,0),AA484,1),"")</f>
        <v/>
      </c>
      <c r="AA484" s="9" t="s">
        <v>23</v>
      </c>
      <c r="AB484" s="9" t="str">
        <f>IFERROR(MID(VLOOKUP($B484,Seqs!$A:$B,2,0),AC484,1),"")</f>
        <v>I</v>
      </c>
      <c r="AC484" s="9">
        <v>591</v>
      </c>
      <c r="AD484" s="9" t="str">
        <f>IFERROR(MID(VLOOKUP($B484,Seqs!$A:$B,2,0),AE484,1),"")</f>
        <v>D</v>
      </c>
      <c r="AE484" s="9">
        <v>619</v>
      </c>
      <c r="AF484" s="9" t="str">
        <f>IFERROR(MID(VLOOKUP($B484,Seqs!$A:$B,2,0),AG484,1),"")</f>
        <v>C</v>
      </c>
      <c r="AG484" s="9">
        <v>648</v>
      </c>
      <c r="AH484" s="9" t="str">
        <f>IFERROR(MID(VLOOKUP($B484,Seqs!$A:$B,2,0),AI484,1),"")</f>
        <v>N</v>
      </c>
      <c r="AI484" s="9">
        <v>650</v>
      </c>
      <c r="AJ484" s="9" t="str">
        <f>IFERROR(MID(VLOOKUP($B484,Seqs!$A:$B,2,0),AK484,1),"")</f>
        <v>M</v>
      </c>
      <c r="AK484" s="9">
        <v>653</v>
      </c>
      <c r="AL484" s="9" t="str">
        <f>IFERROR(MID(VLOOKUP($B484,Seqs!$A:$B,2,0),AM484,1),"")</f>
        <v>T</v>
      </c>
      <c r="AM484" s="9">
        <v>678</v>
      </c>
      <c r="AN484" s="9" t="str">
        <f>IFERROR(MID(VLOOKUP($B484,Seqs!$A:$B,2,0),AO484,1),"")</f>
        <v>Y</v>
      </c>
      <c r="AO484" s="9">
        <v>691</v>
      </c>
      <c r="AP484" s="9" t="str">
        <f>IFERROR(MID(VLOOKUP($B484,Seqs!$A:$B,2,0),AQ484,1),"")</f>
        <v>T</v>
      </c>
      <c r="AQ484" s="9">
        <v>713</v>
      </c>
      <c r="AR484" s="9" t="str">
        <f>IFERROR(MID(VLOOKUP($B484,Seqs!$A:$B,2,0),AS484,1),"")</f>
        <v>N</v>
      </c>
      <c r="AS484" s="9">
        <v>718</v>
      </c>
      <c r="AT484" s="9" t="str">
        <f>IFERROR(MID(VLOOKUP($B484,Seqs!$A:$B,2,0),AU484,1),"")</f>
        <v>L</v>
      </c>
      <c r="AU484" s="9">
        <v>747</v>
      </c>
      <c r="AV484" s="9" t="str">
        <f>IFERROR(MID(VLOOKUP($B484,Seqs!$A:$B,2,0),AW484,1),"")</f>
        <v/>
      </c>
      <c r="AW484" s="9" t="s">
        <v>23</v>
      </c>
      <c r="AX484" s="9" t="str">
        <f>IFERROR(MID(VLOOKUP($B484,Seqs!$A:$B,2,0),AY484,1),"")</f>
        <v/>
      </c>
      <c r="AY484" s="9" t="s">
        <v>23</v>
      </c>
      <c r="AZ484" s="110" t="str">
        <f>VLOOKUP(B484,Classification!A:D,2,0)</f>
        <v>C</v>
      </c>
      <c r="BA484" s="98" t="str">
        <f>VLOOKUP(B484,Classification!A:D,4,0)</f>
        <v>GABA&lt;sub&gt;B&lt;/sub&gt;</v>
      </c>
      <c r="BB484" s="36" t="b">
        <f t="shared" ref="BB484" si="4893">AND(E484&lt;G484,OR(G484&lt;I484,I484="-"),OR(I484&lt;K484,I484="-"),OR(K484&lt;M484,K484="-"),M484&lt;O484,OR(O484&lt;Q484,Q484="-"),OR(Q484&lt;S484,Q484="-"),OR(S484&lt;U484,S484="-"),U484&lt;W484,OR(W484&lt;Y484,Y484="-"),OR(Y484&lt;AA484,Y484="-"),OR(AA484&lt;AC484,AA484="-"),AC484&lt;AE484,OR(AE484&lt;AG484,AG484="-"),OR(AG484&lt;AI484,AG484="-"),OR(AI484&lt;AK484,AI484="-"),AK484&lt;AM484,AM484&lt;AO484,AO484&lt;AQ484,AQ484&lt;AS484,AS484&lt;AU484,OR(AU484&lt;AW484,AW484="-"),OR(AW484&lt;AY484,AW484="-"))</f>
        <v>1</v>
      </c>
      <c r="BC484" s="109">
        <f t="shared" ref="BC484" si="4894">_xlfn.AGGREGATE(9,6,CH484:CS484)-_xlfn.AGGREGATE(9,6,BV484:CG484)+12</f>
        <v>195</v>
      </c>
      <c r="BD484" s="127" t="s">
        <v>23</v>
      </c>
      <c r="BE484" s="9" t="s">
        <v>1467</v>
      </c>
      <c r="BF484" s="119">
        <v>6.3</v>
      </c>
      <c r="BG484" s="51" t="s">
        <v>1277</v>
      </c>
      <c r="BH484" s="51" t="s">
        <v>1277</v>
      </c>
      <c r="BI484" s="9"/>
      <c r="BJ484" s="111" t="s">
        <v>1283</v>
      </c>
      <c r="BK484" s="112" t="s">
        <v>1283</v>
      </c>
      <c r="BL484" s="112" t="s">
        <v>1283</v>
      </c>
      <c r="BM484" s="112" t="s">
        <v>1283</v>
      </c>
      <c r="BN484" s="112" t="s">
        <v>1283</v>
      </c>
      <c r="BO484" s="112" t="s">
        <v>1283</v>
      </c>
      <c r="BP484" s="112" t="s">
        <v>1283</v>
      </c>
      <c r="BQ484" s="112" t="s">
        <v>1283</v>
      </c>
      <c r="BR484" s="112" t="s">
        <v>1283</v>
      </c>
      <c r="BS484" s="112" t="s">
        <v>1283</v>
      </c>
      <c r="BT484" s="112" t="s">
        <v>1283</v>
      </c>
      <c r="BU484" s="112" t="s">
        <v>1283</v>
      </c>
      <c r="BV484" s="111">
        <f t="shared" ref="BV484" si="4895">E484</f>
        <v>478</v>
      </c>
      <c r="BW484" s="113" t="str">
        <f t="shared" ref="BW484" si="4896">I484</f>
        <v>-</v>
      </c>
      <c r="BX484" s="114">
        <f t="shared" ref="BX484" si="4897">M484</f>
        <v>518</v>
      </c>
      <c r="BY484" s="113" t="str">
        <f t="shared" ref="BY484" si="4898">Q484</f>
        <v>-</v>
      </c>
      <c r="BZ484" s="114">
        <f t="shared" ref="BZ484" si="4899">U484</f>
        <v>552</v>
      </c>
      <c r="CA484" s="113" t="str">
        <f t="shared" ref="CA484" si="4900">Y484</f>
        <v>-</v>
      </c>
      <c r="CB484" s="114">
        <f t="shared" ref="CB484" si="4901">AC484</f>
        <v>591</v>
      </c>
      <c r="CC484" s="113">
        <f t="shared" ref="CC484" si="4902">AG484</f>
        <v>648</v>
      </c>
      <c r="CD484" s="114">
        <f t="shared" ref="CD484" si="4903">AK484</f>
        <v>653</v>
      </c>
      <c r="CE484" s="113">
        <f t="shared" ref="CE484" si="4904">AO484</f>
        <v>691</v>
      </c>
      <c r="CF484" s="114">
        <f t="shared" ref="CF484" si="4905">AS484</f>
        <v>718</v>
      </c>
      <c r="CG484" s="113" t="str">
        <f t="shared" ref="CG484" si="4906">AW484</f>
        <v>-</v>
      </c>
      <c r="CH484" s="111">
        <f t="shared" ref="CH484" si="4907">G484</f>
        <v>507</v>
      </c>
      <c r="CI484" s="113" t="str">
        <f t="shared" ref="CI484" si="4908">K484</f>
        <v>-</v>
      </c>
      <c r="CJ484" s="114">
        <f t="shared" ref="CJ484" si="4909">O484</f>
        <v>536</v>
      </c>
      <c r="CK484" s="114" t="str">
        <f t="shared" ref="CK484" si="4910">S484</f>
        <v>-</v>
      </c>
      <c r="CL484" s="114">
        <f t="shared" ref="CL484" si="4911">W484</f>
        <v>582</v>
      </c>
      <c r="CM484" s="114" t="str">
        <f t="shared" ref="CM484" si="4912">AA484</f>
        <v>-</v>
      </c>
      <c r="CN484" s="114">
        <f t="shared" ref="CN484" si="4913">AE484</f>
        <v>619</v>
      </c>
      <c r="CO484" s="114">
        <f t="shared" ref="CO484" si="4914">AI484</f>
        <v>650</v>
      </c>
      <c r="CP484" s="114">
        <f t="shared" ref="CP484" si="4915">AM484</f>
        <v>678</v>
      </c>
      <c r="CQ484" s="114">
        <f t="shared" ref="CQ484" si="4916">AQ484</f>
        <v>713</v>
      </c>
      <c r="CR484" s="114">
        <f t="shared" ref="CR484" si="4917">AU484</f>
        <v>747</v>
      </c>
      <c r="CS484" s="114" t="str">
        <f t="shared" ref="CS484" si="4918">AY484</f>
        <v>-</v>
      </c>
      <c r="CT484" s="109" t="e">
        <f t="shared" ref="CT484" si="4919">M484-K484</f>
        <v>#VALUE!</v>
      </c>
    </row>
    <row r="485" spans="1:1030" s="12" customFormat="1" x14ac:dyDescent="0.2">
      <c r="A485" s="9" t="str">
        <f t="shared" ref="A485" si="4920">CONCATENATE(B485,"_",C485)</f>
        <v>gabr2_human_6VJM</v>
      </c>
      <c r="B485" s="9" t="s">
        <v>107</v>
      </c>
      <c r="C485" s="9" t="s">
        <v>1711</v>
      </c>
      <c r="D485" s="9" t="str">
        <f>IFERROR(MID(VLOOKUP($B485,Seqs!$A:$B,2,0),E485,1),"")</f>
        <v>S</v>
      </c>
      <c r="E485" s="9">
        <v>478</v>
      </c>
      <c r="F485" s="9" t="str">
        <f>IFERROR(MID(VLOOKUP($B485,Seqs!$A:$B,2,0),G485,1),"")</f>
        <v>Q</v>
      </c>
      <c r="G485" s="9">
        <v>509</v>
      </c>
      <c r="H485" s="9" t="str">
        <f>IFERROR(MID(VLOOKUP($B485,Seqs!$A:$B,2,0),I485,1),"")</f>
        <v/>
      </c>
      <c r="I485" s="109" t="s">
        <v>23</v>
      </c>
      <c r="J485" s="9" t="str">
        <f>IFERROR(MID(VLOOKUP($B485,Seqs!$A:$B,2,0),K485,1),"")</f>
        <v/>
      </c>
      <c r="K485" s="109" t="s">
        <v>23</v>
      </c>
      <c r="L485" s="9" t="str">
        <f>IFERROR(MID(VLOOKUP($B485,Seqs!$A:$B,2,0),M485,1),"")</f>
        <v>Y</v>
      </c>
      <c r="M485" s="9">
        <v>518</v>
      </c>
      <c r="N485" s="9" t="str">
        <f>IFERROR(MID(VLOOKUP($B485,Seqs!$A:$B,2,0),O485,1),"")</f>
        <v>L</v>
      </c>
      <c r="O485" s="9">
        <v>536</v>
      </c>
      <c r="P485" s="9" t="str">
        <f>IFERROR(MID(VLOOKUP($B485,Seqs!$A:$B,2,0),Q485,1),"")</f>
        <v/>
      </c>
      <c r="Q485" s="9" t="s">
        <v>23</v>
      </c>
      <c r="R485" s="9" t="str">
        <f>IFERROR(MID(VLOOKUP($B485,Seqs!$A:$B,2,0),S485,1),"")</f>
        <v/>
      </c>
      <c r="S485" s="9" t="s">
        <v>23</v>
      </c>
      <c r="T485" s="9" t="str">
        <f>IFERROR(MID(VLOOKUP($B485,Seqs!$A:$B,2,0),U485,1),"")</f>
        <v>T</v>
      </c>
      <c r="U485" s="9">
        <v>551</v>
      </c>
      <c r="V485" s="9" t="str">
        <f>IFERROR(MID(VLOOKUP($B485,Seqs!$A:$B,2,0),W485,1),"")</f>
        <v>K</v>
      </c>
      <c r="W485" s="9">
        <v>583</v>
      </c>
      <c r="X485" s="9" t="str">
        <f>IFERROR(MID(VLOOKUP($B485,Seqs!$A:$B,2,0),Y485,1),"")</f>
        <v/>
      </c>
      <c r="Y485" s="9" t="s">
        <v>23</v>
      </c>
      <c r="Z485" s="9" t="str">
        <f>IFERROR(MID(VLOOKUP($B485,Seqs!$A:$B,2,0),AA485,1),"")</f>
        <v/>
      </c>
      <c r="AA485" s="9" t="s">
        <v>23</v>
      </c>
      <c r="AB485" s="9" t="str">
        <f>IFERROR(MID(VLOOKUP($B485,Seqs!$A:$B,2,0),AC485,1),"")</f>
        <v>I</v>
      </c>
      <c r="AC485" s="9">
        <v>591</v>
      </c>
      <c r="AD485" s="9" t="str">
        <f>IFERROR(MID(VLOOKUP($B485,Seqs!$A:$B,2,0),AE485,1),"")</f>
        <v>V</v>
      </c>
      <c r="AE485" s="9">
        <v>618</v>
      </c>
      <c r="AF485" s="9" t="str">
        <f>IFERROR(MID(VLOOKUP($B485,Seqs!$A:$B,2,0),AG485,1),"")</f>
        <v>C</v>
      </c>
      <c r="AG485" s="9">
        <v>648</v>
      </c>
      <c r="AH485" s="9" t="str">
        <f>IFERROR(MID(VLOOKUP($B485,Seqs!$A:$B,2,0),AI485,1),"")</f>
        <v>N</v>
      </c>
      <c r="AI485" s="9">
        <v>650</v>
      </c>
      <c r="AJ485" s="9" t="str">
        <f>IFERROR(MID(VLOOKUP($B485,Seqs!$A:$B,2,0),AK485,1),"")</f>
        <v>M</v>
      </c>
      <c r="AK485" s="9">
        <v>653</v>
      </c>
      <c r="AL485" s="9" t="str">
        <f>IFERROR(MID(VLOOKUP($B485,Seqs!$A:$B,2,0),AM485,1),"")</f>
        <v>T</v>
      </c>
      <c r="AM485" s="9">
        <v>678</v>
      </c>
      <c r="AN485" s="9" t="str">
        <f>IFERROR(MID(VLOOKUP($B485,Seqs!$A:$B,2,0),AO485,1),"")</f>
        <v>Y</v>
      </c>
      <c r="AO485" s="9">
        <v>691</v>
      </c>
      <c r="AP485" s="9" t="str">
        <f>IFERROR(MID(VLOOKUP($B485,Seqs!$A:$B,2,0),AQ485,1),"")</f>
        <v>T</v>
      </c>
      <c r="AQ485" s="9">
        <v>713</v>
      </c>
      <c r="AR485" s="9" t="str">
        <f>IFERROR(MID(VLOOKUP($B485,Seqs!$A:$B,2,0),AS485,1),"")</f>
        <v>Q</v>
      </c>
      <c r="AS485" s="9">
        <v>716</v>
      </c>
      <c r="AT485" s="9" t="str">
        <f>IFERROR(MID(VLOOKUP($B485,Seqs!$A:$B,2,0),AU485,1),"")</f>
        <v>L</v>
      </c>
      <c r="AU485" s="9">
        <v>747</v>
      </c>
      <c r="AV485" s="9" t="str">
        <f>IFERROR(MID(VLOOKUP($B485,Seqs!$A:$B,2,0),AW485,1),"")</f>
        <v/>
      </c>
      <c r="AW485" s="9" t="s">
        <v>23</v>
      </c>
      <c r="AX485" s="9" t="str">
        <f>IFERROR(MID(VLOOKUP($B485,Seqs!$A:$B,2,0),AY485,1),"")</f>
        <v/>
      </c>
      <c r="AY485" s="9" t="s">
        <v>23</v>
      </c>
      <c r="AZ485" s="110" t="str">
        <f>VLOOKUP(B485,Classification!A:D,2,0)</f>
        <v>C</v>
      </c>
      <c r="BA485" s="98" t="str">
        <f>VLOOKUP(B485,Classification!A:D,4,0)</f>
        <v>GABA&lt;sub&gt;B&lt;/sub&gt;</v>
      </c>
      <c r="BB485" s="36" t="b">
        <f t="shared" ref="BB485" si="4921">AND(E485&lt;G485,OR(G485&lt;I485,I485="-"),OR(I485&lt;K485,I485="-"),OR(K485&lt;M485,K485="-"),M485&lt;O485,OR(O485&lt;Q485,Q485="-"),OR(Q485&lt;S485,Q485="-"),OR(S485&lt;U485,S485="-"),U485&lt;W485,OR(W485&lt;Y485,Y485="-"),OR(Y485&lt;AA485,Y485="-"),OR(AA485&lt;AC485,AA485="-"),AC485&lt;AE485,OR(AE485&lt;AG485,AG485="-"),OR(AG485&lt;AI485,AG485="-"),OR(AI485&lt;AK485,AI485="-"),AK485&lt;AM485,AM485&lt;AO485,AO485&lt;AQ485,AQ485&lt;AS485,AS485&lt;AU485,OR(AU485&lt;AW485,AW485="-"),OR(AW485&lt;AY485,AW485="-"))</f>
        <v>1</v>
      </c>
      <c r="BC485" s="109">
        <f t="shared" ref="BC485" si="4922">_xlfn.AGGREGATE(9,6,CH485:CS485)-_xlfn.AGGREGATE(9,6,BV485:CG485)+12</f>
        <v>200</v>
      </c>
      <c r="BD485" s="127" t="s">
        <v>23</v>
      </c>
      <c r="BE485" s="9" t="s">
        <v>1370</v>
      </c>
      <c r="BF485" s="119">
        <v>3.97</v>
      </c>
      <c r="BG485" s="51" t="s">
        <v>1277</v>
      </c>
      <c r="BH485" s="51" t="s">
        <v>1277</v>
      </c>
      <c r="BI485" s="9"/>
      <c r="BJ485" s="111" t="s">
        <v>1283</v>
      </c>
      <c r="BK485" s="112" t="s">
        <v>1283</v>
      </c>
      <c r="BL485" s="112" t="s">
        <v>1283</v>
      </c>
      <c r="BM485" s="112" t="s">
        <v>1283</v>
      </c>
      <c r="BN485" s="112" t="s">
        <v>1283</v>
      </c>
      <c r="BO485" s="112" t="s">
        <v>1283</v>
      </c>
      <c r="BP485" s="112" t="s">
        <v>1283</v>
      </c>
      <c r="BQ485" s="112" t="s">
        <v>1283</v>
      </c>
      <c r="BR485" s="112" t="s">
        <v>1283</v>
      </c>
      <c r="BS485" s="112" t="s">
        <v>1283</v>
      </c>
      <c r="BT485" s="112" t="s">
        <v>1283</v>
      </c>
      <c r="BU485" s="112" t="s">
        <v>1283</v>
      </c>
      <c r="BV485" s="111">
        <f t="shared" ref="BV485" si="4923">E485</f>
        <v>478</v>
      </c>
      <c r="BW485" s="113" t="str">
        <f t="shared" ref="BW485" si="4924">I485</f>
        <v>-</v>
      </c>
      <c r="BX485" s="114">
        <f t="shared" ref="BX485" si="4925">M485</f>
        <v>518</v>
      </c>
      <c r="BY485" s="113" t="str">
        <f t="shared" ref="BY485" si="4926">Q485</f>
        <v>-</v>
      </c>
      <c r="BZ485" s="114">
        <f t="shared" ref="BZ485" si="4927">U485</f>
        <v>551</v>
      </c>
      <c r="CA485" s="113" t="str">
        <f t="shared" ref="CA485" si="4928">Y485</f>
        <v>-</v>
      </c>
      <c r="CB485" s="114">
        <f t="shared" ref="CB485" si="4929">AC485</f>
        <v>591</v>
      </c>
      <c r="CC485" s="113">
        <f t="shared" ref="CC485" si="4930">AG485</f>
        <v>648</v>
      </c>
      <c r="CD485" s="114">
        <f t="shared" ref="CD485" si="4931">AK485</f>
        <v>653</v>
      </c>
      <c r="CE485" s="113">
        <f t="shared" ref="CE485" si="4932">AO485</f>
        <v>691</v>
      </c>
      <c r="CF485" s="114">
        <f t="shared" ref="CF485" si="4933">AS485</f>
        <v>716</v>
      </c>
      <c r="CG485" s="113" t="str">
        <f t="shared" ref="CG485" si="4934">AW485</f>
        <v>-</v>
      </c>
      <c r="CH485" s="111">
        <f t="shared" ref="CH485" si="4935">G485</f>
        <v>509</v>
      </c>
      <c r="CI485" s="113" t="str">
        <f t="shared" ref="CI485" si="4936">K485</f>
        <v>-</v>
      </c>
      <c r="CJ485" s="114">
        <f t="shared" ref="CJ485" si="4937">O485</f>
        <v>536</v>
      </c>
      <c r="CK485" s="114" t="str">
        <f t="shared" ref="CK485" si="4938">S485</f>
        <v>-</v>
      </c>
      <c r="CL485" s="114">
        <f t="shared" ref="CL485" si="4939">W485</f>
        <v>583</v>
      </c>
      <c r="CM485" s="114" t="str">
        <f t="shared" ref="CM485" si="4940">AA485</f>
        <v>-</v>
      </c>
      <c r="CN485" s="114">
        <f t="shared" ref="CN485" si="4941">AE485</f>
        <v>618</v>
      </c>
      <c r="CO485" s="114">
        <f t="shared" ref="CO485" si="4942">AI485</f>
        <v>650</v>
      </c>
      <c r="CP485" s="114">
        <f t="shared" ref="CP485" si="4943">AM485</f>
        <v>678</v>
      </c>
      <c r="CQ485" s="114">
        <f t="shared" ref="CQ485" si="4944">AQ485</f>
        <v>713</v>
      </c>
      <c r="CR485" s="114">
        <f t="shared" ref="CR485" si="4945">AU485</f>
        <v>747</v>
      </c>
      <c r="CS485" s="114" t="str">
        <f t="shared" ref="CS485" si="4946">AY485</f>
        <v>-</v>
      </c>
      <c r="CT485" s="109" t="e">
        <f t="shared" ref="CT485" si="4947">M485-K485</f>
        <v>#VALUE!</v>
      </c>
    </row>
    <row r="486" spans="1:1030" s="12" customFormat="1" x14ac:dyDescent="0.2">
      <c r="A486" s="9" t="str">
        <f t="shared" ref="A486" si="4948">CONCATENATE(B486,"_",C486)</f>
        <v>gabr2_human_6W2X</v>
      </c>
      <c r="B486" s="9" t="s">
        <v>107</v>
      </c>
      <c r="C486" s="9" t="s">
        <v>1714</v>
      </c>
      <c r="D486" s="9" t="str">
        <f>IFERROR(MID(VLOOKUP($B486,Seqs!$A:$B,2,0),E486,1),"")</f>
        <v>L</v>
      </c>
      <c r="E486" s="9">
        <v>481</v>
      </c>
      <c r="F486" s="9" t="str">
        <f>IFERROR(MID(VLOOKUP($B486,Seqs!$A:$B,2,0),G486,1),"")</f>
        <v>N</v>
      </c>
      <c r="G486" s="9">
        <v>506</v>
      </c>
      <c r="H486" s="9" t="str">
        <f>IFERROR(MID(VLOOKUP($B486,Seqs!$A:$B,2,0),I486,1),"")</f>
        <v>Q</v>
      </c>
      <c r="I486" s="109">
        <v>509</v>
      </c>
      <c r="J486" s="9" t="str">
        <f>IFERROR(MID(VLOOKUP($B486,Seqs!$A:$B,2,0),K486,1),"")</f>
        <v>S</v>
      </c>
      <c r="K486" s="109">
        <v>515</v>
      </c>
      <c r="L486" s="9" t="str">
        <f>IFERROR(MID(VLOOKUP($B486,Seqs!$A:$B,2,0),M486,1),"")</f>
        <v>Y</v>
      </c>
      <c r="M486" s="9">
        <v>518</v>
      </c>
      <c r="N486" s="9" t="str">
        <f>IFERROR(MID(VLOOKUP($B486,Seqs!$A:$B,2,0),O486,1),"")</f>
        <v>G</v>
      </c>
      <c r="O486" s="9">
        <v>538</v>
      </c>
      <c r="P486" s="9" t="str">
        <f>IFERROR(MID(VLOOKUP($B486,Seqs!$A:$B,2,0),Q486,1),"")</f>
        <v/>
      </c>
      <c r="Q486" s="9" t="s">
        <v>23</v>
      </c>
      <c r="R486" s="9" t="str">
        <f>IFERROR(MID(VLOOKUP($B486,Seqs!$A:$B,2,0),S486,1),"")</f>
        <v/>
      </c>
      <c r="S486" s="9" t="s">
        <v>23</v>
      </c>
      <c r="T486" s="9" t="str">
        <f>IFERROR(MID(VLOOKUP($B486,Seqs!$A:$B,2,0),U486,1),"")</f>
        <v>S</v>
      </c>
      <c r="U486" s="9">
        <v>545</v>
      </c>
      <c r="V486" s="9" t="str">
        <f>IFERROR(MID(VLOOKUP($B486,Seqs!$A:$B,2,0),W486,1),"")</f>
        <v>N</v>
      </c>
      <c r="W486" s="9">
        <v>584</v>
      </c>
      <c r="X486" s="9" t="str">
        <f>IFERROR(MID(VLOOKUP($B486,Seqs!$A:$B,2,0),Y486,1),"")</f>
        <v/>
      </c>
      <c r="Y486" s="9" t="s">
        <v>23</v>
      </c>
      <c r="Z486" s="9" t="str">
        <f>IFERROR(MID(VLOOKUP($B486,Seqs!$A:$B,2,0),AA486,1),"")</f>
        <v/>
      </c>
      <c r="AA486" s="9" t="s">
        <v>23</v>
      </c>
      <c r="AB486" s="9" t="str">
        <f>IFERROR(MID(VLOOKUP($B486,Seqs!$A:$B,2,0),AC486,1),"")</f>
        <v>I</v>
      </c>
      <c r="AC486" s="9">
        <v>592</v>
      </c>
      <c r="AD486" s="9" t="str">
        <f>IFERROR(MID(VLOOKUP($B486,Seqs!$A:$B,2,0),AE486,1),"")</f>
        <v>D</v>
      </c>
      <c r="AE486" s="9">
        <v>619</v>
      </c>
      <c r="AF486" s="9" t="str">
        <f>IFERROR(MID(VLOOKUP($B486,Seqs!$A:$B,2,0),AG486,1),"")</f>
        <v>C</v>
      </c>
      <c r="AG486" s="9">
        <v>648</v>
      </c>
      <c r="AH486" s="9" t="str">
        <f>IFERROR(MID(VLOOKUP($B486,Seqs!$A:$B,2,0),AI486,1),"")</f>
        <v>N</v>
      </c>
      <c r="AI486" s="9">
        <v>650</v>
      </c>
      <c r="AJ486" s="9" t="str">
        <f>IFERROR(MID(VLOOKUP($B486,Seqs!$A:$B,2,0),AK486,1),"")</f>
        <v>M</v>
      </c>
      <c r="AK486" s="9">
        <v>653</v>
      </c>
      <c r="AL486" s="9" t="str">
        <f>IFERROR(MID(VLOOKUP($B486,Seqs!$A:$B,2,0),AM486,1),"")</f>
        <v>R</v>
      </c>
      <c r="AM486" s="9">
        <v>679</v>
      </c>
      <c r="AN486" s="9" t="str">
        <f>IFERROR(MID(VLOOKUP($B486,Seqs!$A:$B,2,0),AO486,1),"")</f>
        <v>D</v>
      </c>
      <c r="AO486" s="9">
        <v>688</v>
      </c>
      <c r="AP486" s="9" t="str">
        <f>IFERROR(MID(VLOOKUP($B486,Seqs!$A:$B,2,0),AQ486,1),"")</f>
        <v>T</v>
      </c>
      <c r="AQ486" s="9">
        <v>713</v>
      </c>
      <c r="AR486" s="9" t="str">
        <f>IFERROR(MID(VLOOKUP($B486,Seqs!$A:$B,2,0),AS486,1),"")</f>
        <v>N</v>
      </c>
      <c r="AS486" s="9">
        <v>718</v>
      </c>
      <c r="AT486" s="9" t="str">
        <f>IFERROR(MID(VLOOKUP($B486,Seqs!$A:$B,2,0),AU486,1),"")</f>
        <v>N</v>
      </c>
      <c r="AU486" s="9">
        <v>750</v>
      </c>
      <c r="AV486" s="9" t="str">
        <f>IFERROR(MID(VLOOKUP($B486,Seqs!$A:$B,2,0),AW486,1),"")</f>
        <v/>
      </c>
      <c r="AW486" s="9" t="s">
        <v>23</v>
      </c>
      <c r="AX486" s="9" t="str">
        <f>IFERROR(MID(VLOOKUP($B486,Seqs!$A:$B,2,0),AY486,1),"")</f>
        <v/>
      </c>
      <c r="AY486" s="9" t="s">
        <v>23</v>
      </c>
      <c r="AZ486" s="110" t="str">
        <f>VLOOKUP(B486,Classification!A:D,2,0)</f>
        <v>C</v>
      </c>
      <c r="BA486" s="98" t="str">
        <f>VLOOKUP(B486,Classification!A:D,4,0)</f>
        <v>GABA&lt;sub&gt;B&lt;/sub&gt;</v>
      </c>
      <c r="BB486" s="36" t="b">
        <f t="shared" ref="BB486" si="4949">AND(E486&lt;G486,OR(G486&lt;I486,I486="-"),OR(I486&lt;K486,I486="-"),OR(K486&lt;M486,K486="-"),M486&lt;O486,OR(O486&lt;Q486,Q486="-"),OR(Q486&lt;S486,Q486="-"),OR(S486&lt;U486,S486="-"),U486&lt;W486,OR(W486&lt;Y486,Y486="-"),OR(Y486&lt;AA486,Y486="-"),OR(AA486&lt;AC486,AA486="-"),AC486&lt;AE486,OR(AE486&lt;AG486,AG486="-"),OR(AG486&lt;AI486,AG486="-"),OR(AI486&lt;AK486,AI486="-"),AK486&lt;AM486,AM486&lt;AO486,AO486&lt;AQ486,AQ486&lt;AS486,AS486&lt;AU486,OR(AU486&lt;AW486,AW486="-"),OR(AW486&lt;AY486,AW486="-"))</f>
        <v>1</v>
      </c>
      <c r="BC486" s="109">
        <f t="shared" ref="BC486" si="4950">_xlfn.AGGREGATE(9,6,CH486:CS486)-_xlfn.AGGREGATE(9,6,BV486:CG486)+12</f>
        <v>214</v>
      </c>
      <c r="BD486" s="127" t="s">
        <v>23</v>
      </c>
      <c r="BE486" s="9" t="s">
        <v>1370</v>
      </c>
      <c r="BF486" s="119">
        <v>3.6</v>
      </c>
      <c r="BG486" s="51" t="s">
        <v>1277</v>
      </c>
      <c r="BH486" s="51" t="s">
        <v>1277</v>
      </c>
      <c r="BI486" s="9"/>
      <c r="BJ486" s="111" t="s">
        <v>1283</v>
      </c>
      <c r="BK486" s="112" t="s">
        <v>1283</v>
      </c>
      <c r="BL486" s="112" t="s">
        <v>1283</v>
      </c>
      <c r="BM486" s="112" t="s">
        <v>1283</v>
      </c>
      <c r="BN486" s="112" t="s">
        <v>1283</v>
      </c>
      <c r="BO486" s="112" t="s">
        <v>1283</v>
      </c>
      <c r="BP486" s="112" t="s">
        <v>1283</v>
      </c>
      <c r="BQ486" s="112" t="s">
        <v>1283</v>
      </c>
      <c r="BR486" s="112" t="s">
        <v>1283</v>
      </c>
      <c r="BS486" s="112" t="s">
        <v>1283</v>
      </c>
      <c r="BT486" s="112" t="s">
        <v>1283</v>
      </c>
      <c r="BU486" s="112" t="s">
        <v>1283</v>
      </c>
      <c r="BV486" s="111">
        <f t="shared" ref="BV486" si="4951">E486</f>
        <v>481</v>
      </c>
      <c r="BW486" s="113">
        <f t="shared" ref="BW486" si="4952">I486</f>
        <v>509</v>
      </c>
      <c r="BX486" s="114">
        <f t="shared" ref="BX486" si="4953">M486</f>
        <v>518</v>
      </c>
      <c r="BY486" s="113" t="str">
        <f t="shared" ref="BY486" si="4954">Q486</f>
        <v>-</v>
      </c>
      <c r="BZ486" s="114">
        <f t="shared" ref="BZ486" si="4955">U486</f>
        <v>545</v>
      </c>
      <c r="CA486" s="113" t="str">
        <f t="shared" ref="CA486" si="4956">Y486</f>
        <v>-</v>
      </c>
      <c r="CB486" s="114">
        <f t="shared" ref="CB486" si="4957">AC486</f>
        <v>592</v>
      </c>
      <c r="CC486" s="113">
        <f t="shared" ref="CC486" si="4958">AG486</f>
        <v>648</v>
      </c>
      <c r="CD486" s="114">
        <f t="shared" ref="CD486" si="4959">AK486</f>
        <v>653</v>
      </c>
      <c r="CE486" s="113">
        <f t="shared" ref="CE486" si="4960">AO486</f>
        <v>688</v>
      </c>
      <c r="CF486" s="114">
        <f t="shared" ref="CF486" si="4961">AS486</f>
        <v>718</v>
      </c>
      <c r="CG486" s="113" t="str">
        <f t="shared" ref="CG486" si="4962">AW486</f>
        <v>-</v>
      </c>
      <c r="CH486" s="111">
        <f t="shared" ref="CH486" si="4963">G486</f>
        <v>506</v>
      </c>
      <c r="CI486" s="113">
        <f t="shared" ref="CI486" si="4964">K486</f>
        <v>515</v>
      </c>
      <c r="CJ486" s="114">
        <f t="shared" ref="CJ486" si="4965">O486</f>
        <v>538</v>
      </c>
      <c r="CK486" s="114" t="str">
        <f t="shared" ref="CK486" si="4966">S486</f>
        <v>-</v>
      </c>
      <c r="CL486" s="114">
        <f t="shared" ref="CL486" si="4967">W486</f>
        <v>584</v>
      </c>
      <c r="CM486" s="114" t="str">
        <f t="shared" ref="CM486" si="4968">AA486</f>
        <v>-</v>
      </c>
      <c r="CN486" s="114">
        <f t="shared" ref="CN486" si="4969">AE486</f>
        <v>619</v>
      </c>
      <c r="CO486" s="114">
        <f t="shared" ref="CO486" si="4970">AI486</f>
        <v>650</v>
      </c>
      <c r="CP486" s="114">
        <f t="shared" ref="CP486" si="4971">AM486</f>
        <v>679</v>
      </c>
      <c r="CQ486" s="114">
        <f t="shared" ref="CQ486" si="4972">AQ486</f>
        <v>713</v>
      </c>
      <c r="CR486" s="114">
        <f t="shared" ref="CR486" si="4973">AU486</f>
        <v>750</v>
      </c>
      <c r="CS486" s="114" t="str">
        <f t="shared" ref="CS486" si="4974">AY486</f>
        <v>-</v>
      </c>
      <c r="CT486" s="109">
        <f t="shared" ref="CT486" si="4975">M486-K486</f>
        <v>3</v>
      </c>
    </row>
    <row r="487" spans="1:1030" s="12" customFormat="1" x14ac:dyDescent="0.2">
      <c r="A487" s="9" t="str">
        <f t="shared" ref="A487" si="4976">CONCATENATE(B487,"_",C487)</f>
        <v>gabr2_human_6WIV</v>
      </c>
      <c r="B487" s="9" t="s">
        <v>107</v>
      </c>
      <c r="C487" s="9" t="s">
        <v>1716</v>
      </c>
      <c r="D487" s="9" t="str">
        <f>IFERROR(MID(VLOOKUP($B487,Seqs!$A:$B,2,0),E487,1),"")</f>
        <v>S</v>
      </c>
      <c r="E487" s="9">
        <v>478</v>
      </c>
      <c r="F487" s="9" t="str">
        <f>IFERROR(MID(VLOOKUP($B487,Seqs!$A:$B,2,0),G487,1),"")</f>
        <v>N</v>
      </c>
      <c r="G487" s="9">
        <v>506</v>
      </c>
      <c r="H487" s="9" t="str">
        <f>IFERROR(MID(VLOOKUP($B487,Seqs!$A:$B,2,0),I487,1),"")</f>
        <v>Q</v>
      </c>
      <c r="I487" s="109">
        <v>509</v>
      </c>
      <c r="J487" s="9" t="str">
        <f>IFERROR(MID(VLOOKUP($B487,Seqs!$A:$B,2,0),K487,1),"")</f>
        <v>M</v>
      </c>
      <c r="K487" s="109">
        <v>514</v>
      </c>
      <c r="L487" s="9" t="str">
        <f>IFERROR(MID(VLOOKUP($B487,Seqs!$A:$B,2,0),M487,1),"")</f>
        <v>S</v>
      </c>
      <c r="M487" s="9">
        <v>516</v>
      </c>
      <c r="N487" s="9" t="str">
        <f>IFERROR(MID(VLOOKUP($B487,Seqs!$A:$B,2,0),O487,1),"")</f>
        <v>F</v>
      </c>
      <c r="O487" s="9">
        <v>537</v>
      </c>
      <c r="P487" s="9" t="str">
        <f>IFERROR(MID(VLOOKUP($B487,Seqs!$A:$B,2,0),Q487,1),"")</f>
        <v/>
      </c>
      <c r="Q487" s="9" t="s">
        <v>23</v>
      </c>
      <c r="R487" s="9" t="str">
        <f>IFERROR(MID(VLOOKUP($B487,Seqs!$A:$B,2,0),S487,1),"")</f>
        <v/>
      </c>
      <c r="S487" s="9" t="s">
        <v>23</v>
      </c>
      <c r="T487" s="9" t="str">
        <f>IFERROR(MID(VLOOKUP($B487,Seqs!$A:$B,2,0),U487,1),"")</f>
        <v>S</v>
      </c>
      <c r="U487" s="9">
        <v>545</v>
      </c>
      <c r="V487" s="9" t="str">
        <f>IFERROR(MID(VLOOKUP($B487,Seqs!$A:$B,2,0),W487,1),"")</f>
        <v>N</v>
      </c>
      <c r="W487" s="9">
        <v>584</v>
      </c>
      <c r="X487" s="9" t="str">
        <f>IFERROR(MID(VLOOKUP($B487,Seqs!$A:$B,2,0),Y487,1),"")</f>
        <v/>
      </c>
      <c r="Y487" s="9" t="s">
        <v>23</v>
      </c>
      <c r="Z487" s="9" t="str">
        <f>IFERROR(MID(VLOOKUP($B487,Seqs!$A:$B,2,0),AA487,1),"")</f>
        <v/>
      </c>
      <c r="AA487" s="9" t="s">
        <v>23</v>
      </c>
      <c r="AB487" s="9" t="str">
        <f>IFERROR(MID(VLOOKUP($B487,Seqs!$A:$B,2,0),AC487,1),"")</f>
        <v>K</v>
      </c>
      <c r="AC487" s="9">
        <v>596</v>
      </c>
      <c r="AD487" s="9" t="str">
        <f>IFERROR(MID(VLOOKUP($B487,Seqs!$A:$B,2,0),AE487,1),"")</f>
        <v>D</v>
      </c>
      <c r="AE487" s="9">
        <v>619</v>
      </c>
      <c r="AF487" s="9" t="str">
        <f>IFERROR(MID(VLOOKUP($B487,Seqs!$A:$B,2,0),AG487,1),"")</f>
        <v>C</v>
      </c>
      <c r="AG487" s="9">
        <v>648</v>
      </c>
      <c r="AH487" s="9" t="str">
        <f>IFERROR(MID(VLOOKUP($B487,Seqs!$A:$B,2,0),AI487,1),"")</f>
        <v>N</v>
      </c>
      <c r="AI487" s="9">
        <v>650</v>
      </c>
      <c r="AJ487" s="9" t="str">
        <f>IFERROR(MID(VLOOKUP($B487,Seqs!$A:$B,2,0),AK487,1),"")</f>
        <v>H</v>
      </c>
      <c r="AK487" s="9">
        <v>652</v>
      </c>
      <c r="AL487" s="9" t="str">
        <f>IFERROR(MID(VLOOKUP($B487,Seqs!$A:$B,2,0),AM487,1),"")</f>
        <v>T</v>
      </c>
      <c r="AM487" s="9">
        <v>678</v>
      </c>
      <c r="AN487" s="9" t="str">
        <f>IFERROR(MID(VLOOKUP($B487,Seqs!$A:$B,2,0),AO487,1),"")</f>
        <v>D</v>
      </c>
      <c r="AO487" s="9">
        <v>688</v>
      </c>
      <c r="AP487" s="9" t="str">
        <f>IFERROR(MID(VLOOKUP($B487,Seqs!$A:$B,2,0),AQ487,1),"")</f>
        <v>T</v>
      </c>
      <c r="AQ487" s="9">
        <v>713</v>
      </c>
      <c r="AR487" s="9" t="str">
        <f>IFERROR(MID(VLOOKUP($B487,Seqs!$A:$B,2,0),AS487,1),"")</f>
        <v>Q</v>
      </c>
      <c r="AS487" s="9">
        <v>716</v>
      </c>
      <c r="AT487" s="9" t="str">
        <f>IFERROR(MID(VLOOKUP($B487,Seqs!$A:$B,2,0),AU487,1),"")</f>
        <v>T</v>
      </c>
      <c r="AU487" s="9">
        <v>749</v>
      </c>
      <c r="AV487" s="9" t="str">
        <f>IFERROR(MID(VLOOKUP($B487,Seqs!$A:$B,2,0),AW487,1),"")</f>
        <v/>
      </c>
      <c r="AW487" s="9" t="s">
        <v>23</v>
      </c>
      <c r="AX487" s="9" t="str">
        <f>IFERROR(MID(VLOOKUP($B487,Seqs!$A:$B,2,0),AY487,1),"")</f>
        <v/>
      </c>
      <c r="AY487" s="9" t="s">
        <v>23</v>
      </c>
      <c r="AZ487" s="110" t="str">
        <f>VLOOKUP(B487,Classification!A:D,2,0)</f>
        <v>C</v>
      </c>
      <c r="BA487" s="98" t="str">
        <f>VLOOKUP(B487,Classification!A:D,4,0)</f>
        <v>GABA&lt;sub&gt;B&lt;/sub&gt;</v>
      </c>
      <c r="BB487" s="36" t="b">
        <f t="shared" ref="BB487" si="4977">AND(E487&lt;G487,OR(G487&lt;I487,I487="-"),OR(I487&lt;K487,I487="-"),OR(K487&lt;M487,K487="-"),M487&lt;O487,OR(O487&lt;Q487,Q487="-"),OR(Q487&lt;S487,Q487="-"),OR(S487&lt;U487,S487="-"),U487&lt;W487,OR(W487&lt;Y487,Y487="-"),OR(Y487&lt;AA487,Y487="-"),OR(AA487&lt;AC487,AA487="-"),AC487&lt;AE487,OR(AE487&lt;AG487,AG487="-"),OR(AG487&lt;AI487,AG487="-"),OR(AI487&lt;AK487,AI487="-"),AK487&lt;AM487,AM487&lt;AO487,AO487&lt;AQ487,AQ487&lt;AS487,AS487&lt;AU487,OR(AU487&lt;AW487,AW487="-"),OR(AW487&lt;AY487,AW487="-"))</f>
        <v>1</v>
      </c>
      <c r="BC487" s="109">
        <f t="shared" ref="BC487" si="4978">_xlfn.AGGREGATE(9,6,CH487:CS487)-_xlfn.AGGREGATE(9,6,BV487:CG487)+12</f>
        <v>214</v>
      </c>
      <c r="BD487" s="127" t="s">
        <v>23</v>
      </c>
      <c r="BE487" s="9" t="s">
        <v>1370</v>
      </c>
      <c r="BF487" s="119">
        <v>3.3</v>
      </c>
      <c r="BG487" s="51" t="s">
        <v>1277</v>
      </c>
      <c r="BH487" s="51" t="s">
        <v>1277</v>
      </c>
      <c r="BI487" s="9"/>
      <c r="BJ487" s="111" t="s">
        <v>1283</v>
      </c>
      <c r="BK487" s="112" t="s">
        <v>1283</v>
      </c>
      <c r="BL487" s="112" t="s">
        <v>1283</v>
      </c>
      <c r="BM487" s="112" t="s">
        <v>1283</v>
      </c>
      <c r="BN487" s="112" t="s">
        <v>1283</v>
      </c>
      <c r="BO487" s="112" t="s">
        <v>1283</v>
      </c>
      <c r="BP487" s="112" t="s">
        <v>1283</v>
      </c>
      <c r="BQ487" s="112" t="s">
        <v>1283</v>
      </c>
      <c r="BR487" s="112" t="s">
        <v>1283</v>
      </c>
      <c r="BS487" s="112" t="s">
        <v>1283</v>
      </c>
      <c r="BT487" s="112" t="s">
        <v>1283</v>
      </c>
      <c r="BU487" s="112" t="s">
        <v>1283</v>
      </c>
      <c r="BV487" s="111">
        <f t="shared" ref="BV487" si="4979">E487</f>
        <v>478</v>
      </c>
      <c r="BW487" s="113">
        <f t="shared" ref="BW487" si="4980">I487</f>
        <v>509</v>
      </c>
      <c r="BX487" s="114">
        <f t="shared" ref="BX487" si="4981">M487</f>
        <v>516</v>
      </c>
      <c r="BY487" s="113" t="str">
        <f t="shared" ref="BY487" si="4982">Q487</f>
        <v>-</v>
      </c>
      <c r="BZ487" s="114">
        <f t="shared" ref="BZ487" si="4983">U487</f>
        <v>545</v>
      </c>
      <c r="CA487" s="113" t="str">
        <f t="shared" ref="CA487" si="4984">Y487</f>
        <v>-</v>
      </c>
      <c r="CB487" s="114">
        <f t="shared" ref="CB487" si="4985">AC487</f>
        <v>596</v>
      </c>
      <c r="CC487" s="113">
        <f t="shared" ref="CC487" si="4986">AG487</f>
        <v>648</v>
      </c>
      <c r="CD487" s="114">
        <f t="shared" ref="CD487" si="4987">AK487</f>
        <v>652</v>
      </c>
      <c r="CE487" s="113">
        <f t="shared" ref="CE487" si="4988">AO487</f>
        <v>688</v>
      </c>
      <c r="CF487" s="114">
        <f t="shared" ref="CF487" si="4989">AS487</f>
        <v>716</v>
      </c>
      <c r="CG487" s="113" t="str">
        <f t="shared" ref="CG487" si="4990">AW487</f>
        <v>-</v>
      </c>
      <c r="CH487" s="111">
        <f t="shared" ref="CH487" si="4991">G487</f>
        <v>506</v>
      </c>
      <c r="CI487" s="113">
        <f t="shared" ref="CI487" si="4992">K487</f>
        <v>514</v>
      </c>
      <c r="CJ487" s="114">
        <f t="shared" ref="CJ487" si="4993">O487</f>
        <v>537</v>
      </c>
      <c r="CK487" s="114" t="str">
        <f t="shared" ref="CK487" si="4994">S487</f>
        <v>-</v>
      </c>
      <c r="CL487" s="114">
        <f t="shared" ref="CL487" si="4995">W487</f>
        <v>584</v>
      </c>
      <c r="CM487" s="114" t="str">
        <f t="shared" ref="CM487" si="4996">AA487</f>
        <v>-</v>
      </c>
      <c r="CN487" s="114">
        <f t="shared" ref="CN487" si="4997">AE487</f>
        <v>619</v>
      </c>
      <c r="CO487" s="114">
        <f t="shared" ref="CO487" si="4998">AI487</f>
        <v>650</v>
      </c>
      <c r="CP487" s="114">
        <f t="shared" ref="CP487" si="4999">AM487</f>
        <v>678</v>
      </c>
      <c r="CQ487" s="114">
        <f t="shared" ref="CQ487" si="5000">AQ487</f>
        <v>713</v>
      </c>
      <c r="CR487" s="114">
        <f t="shared" ref="CR487" si="5001">AU487</f>
        <v>749</v>
      </c>
      <c r="CS487" s="114" t="str">
        <f t="shared" ref="CS487" si="5002">AY487</f>
        <v>-</v>
      </c>
      <c r="CT487" s="109">
        <f t="shared" ref="CT487" si="5003">M487-K487</f>
        <v>2</v>
      </c>
    </row>
    <row r="488" spans="1:1030" s="12" customFormat="1" x14ac:dyDescent="0.2">
      <c r="A488" s="9" t="str">
        <f t="shared" ref="A488" si="5004">CONCATENATE(B488,"_",C488)</f>
        <v>gabr2_human_7C7Q</v>
      </c>
      <c r="B488" s="9" t="s">
        <v>107</v>
      </c>
      <c r="C488" s="9" t="s">
        <v>1712</v>
      </c>
      <c r="D488" s="9" t="str">
        <f>IFERROR(MID(VLOOKUP($B488,Seqs!$A:$B,2,0),E488,1),"")</f>
        <v>S</v>
      </c>
      <c r="E488" s="9">
        <v>478</v>
      </c>
      <c r="F488" s="9" t="str">
        <f>IFERROR(MID(VLOOKUP($B488,Seqs!$A:$B,2,0),G488,1),"")</f>
        <v>N</v>
      </c>
      <c r="G488" s="9">
        <v>506</v>
      </c>
      <c r="H488" s="9" t="str">
        <f>IFERROR(MID(VLOOKUP($B488,Seqs!$A:$B,2,0),I488,1),"")</f>
        <v>Q</v>
      </c>
      <c r="I488" s="109">
        <v>509</v>
      </c>
      <c r="J488" s="9" t="str">
        <f>IFERROR(MID(VLOOKUP($B488,Seqs!$A:$B,2,0),K488,1),"")</f>
        <v>S</v>
      </c>
      <c r="K488" s="109">
        <v>515</v>
      </c>
      <c r="L488" s="9" t="str">
        <f>IFERROR(MID(VLOOKUP($B488,Seqs!$A:$B,2,0),M488,1),"")</f>
        <v>S</v>
      </c>
      <c r="M488" s="9">
        <v>516</v>
      </c>
      <c r="N488" s="9" t="str">
        <f>IFERROR(MID(VLOOKUP($B488,Seqs!$A:$B,2,0),O488,1),"")</f>
        <v>G</v>
      </c>
      <c r="O488" s="9">
        <v>538</v>
      </c>
      <c r="P488" s="9" t="str">
        <f>IFERROR(MID(VLOOKUP($B488,Seqs!$A:$B,2,0),Q488,1),"")</f>
        <v/>
      </c>
      <c r="Q488" s="9" t="s">
        <v>23</v>
      </c>
      <c r="R488" s="9" t="str">
        <f>IFERROR(MID(VLOOKUP($B488,Seqs!$A:$B,2,0),S488,1),"")</f>
        <v/>
      </c>
      <c r="S488" s="9" t="s">
        <v>23</v>
      </c>
      <c r="T488" s="9" t="str">
        <f>IFERROR(MID(VLOOKUP($B488,Seqs!$A:$B,2,0),U488,1),"")</f>
        <v>S</v>
      </c>
      <c r="U488" s="9">
        <v>545</v>
      </c>
      <c r="V488" s="9" t="str">
        <f>IFERROR(MID(VLOOKUP($B488,Seqs!$A:$B,2,0),W488,1),"")</f>
        <v>K</v>
      </c>
      <c r="W488" s="9">
        <v>583</v>
      </c>
      <c r="X488" s="9" t="str">
        <f>IFERROR(MID(VLOOKUP($B488,Seqs!$A:$B,2,0),Y488,1),"")</f>
        <v/>
      </c>
      <c r="Y488" s="9" t="s">
        <v>23</v>
      </c>
      <c r="Z488" s="9" t="str">
        <f>IFERROR(MID(VLOOKUP($B488,Seqs!$A:$B,2,0),AA488,1),"")</f>
        <v/>
      </c>
      <c r="AA488" s="9" t="s">
        <v>23</v>
      </c>
      <c r="AB488" s="9" t="str">
        <f>IFERROR(MID(VLOOKUP($B488,Seqs!$A:$B,2,0),AC488,1),"")</f>
        <v>K</v>
      </c>
      <c r="AC488" s="9">
        <v>596</v>
      </c>
      <c r="AD488" s="9" t="str">
        <f>IFERROR(MID(VLOOKUP($B488,Seqs!$A:$B,2,0),AE488,1),"")</f>
        <v>D</v>
      </c>
      <c r="AE488" s="9">
        <v>619</v>
      </c>
      <c r="AF488" s="9" t="str">
        <f>IFERROR(MID(VLOOKUP($B488,Seqs!$A:$B,2,0),AG488,1),"")</f>
        <v>C</v>
      </c>
      <c r="AG488" s="9">
        <v>648</v>
      </c>
      <c r="AH488" s="9" t="str">
        <f>IFERROR(MID(VLOOKUP($B488,Seqs!$A:$B,2,0),AI488,1),"")</f>
        <v>N</v>
      </c>
      <c r="AI488" s="9">
        <v>650</v>
      </c>
      <c r="AJ488" s="9" t="str">
        <f>IFERROR(MID(VLOOKUP($B488,Seqs!$A:$B,2,0),AK488,1),"")</f>
        <v>M</v>
      </c>
      <c r="AK488" s="9">
        <v>653</v>
      </c>
      <c r="AL488" s="9" t="str">
        <f>IFERROR(MID(VLOOKUP($B488,Seqs!$A:$B,2,0),AM488,1),"")</f>
        <v>V</v>
      </c>
      <c r="AM488" s="9">
        <v>681</v>
      </c>
      <c r="AN488" s="9" t="str">
        <f>IFERROR(MID(VLOOKUP($B488,Seqs!$A:$B,2,0),AO488,1),"")</f>
        <v>D</v>
      </c>
      <c r="AO488" s="9">
        <v>688</v>
      </c>
      <c r="AP488" s="9" t="str">
        <f>IFERROR(MID(VLOOKUP($B488,Seqs!$A:$B,2,0),AQ488,1),"")</f>
        <v>T</v>
      </c>
      <c r="AQ488" s="9">
        <v>713</v>
      </c>
      <c r="AR488" s="9" t="str">
        <f>IFERROR(MID(VLOOKUP($B488,Seqs!$A:$B,2,0),AS488,1),"")</f>
        <v>Q</v>
      </c>
      <c r="AS488" s="9">
        <v>716</v>
      </c>
      <c r="AT488" s="9" t="str">
        <f>IFERROR(MID(VLOOKUP($B488,Seqs!$A:$B,2,0),AU488,1),"")</f>
        <v>R</v>
      </c>
      <c r="AU488" s="9">
        <v>748</v>
      </c>
      <c r="AV488" s="9" t="str">
        <f>IFERROR(MID(VLOOKUP($B488,Seqs!$A:$B,2,0),AW488,1),"")</f>
        <v/>
      </c>
      <c r="AW488" s="9" t="s">
        <v>23</v>
      </c>
      <c r="AX488" s="9" t="str">
        <f>IFERROR(MID(VLOOKUP($B488,Seqs!$A:$B,2,0),AY488,1),"")</f>
        <v/>
      </c>
      <c r="AY488" s="9" t="s">
        <v>23</v>
      </c>
      <c r="AZ488" s="110" t="str">
        <f>VLOOKUP(B488,Classification!A:D,2,0)</f>
        <v>C</v>
      </c>
      <c r="BA488" s="98" t="str">
        <f>VLOOKUP(B488,Classification!A:D,4,0)</f>
        <v>GABA&lt;sub&gt;B&lt;/sub&gt;</v>
      </c>
      <c r="BB488" s="36" t="b">
        <f t="shared" ref="BB488" si="5005">AND(E488&lt;G488,OR(G488&lt;I488,I488="-"),OR(I488&lt;K488,I488="-"),OR(K488&lt;M488,K488="-"),M488&lt;O488,OR(O488&lt;Q488,Q488="-"),OR(Q488&lt;S488,Q488="-"),OR(S488&lt;U488,S488="-"),U488&lt;W488,OR(W488&lt;Y488,Y488="-"),OR(Y488&lt;AA488,Y488="-"),OR(AA488&lt;AC488,AA488="-"),AC488&lt;AE488,OR(AE488&lt;AG488,AG488="-"),OR(AG488&lt;AI488,AG488="-"),OR(AI488&lt;AK488,AI488="-"),AK488&lt;AM488,AM488&lt;AO488,AO488&lt;AQ488,AQ488&lt;AS488,AS488&lt;AU488,OR(AU488&lt;AW488,AW488="-"),OR(AW488&lt;AY488,AW488="-"))</f>
        <v>1</v>
      </c>
      <c r="BC488" s="109">
        <f t="shared" ref="BC488" si="5006">_xlfn.AGGREGATE(9,6,CH488:CS488)-_xlfn.AGGREGATE(9,6,BV488:CG488)+12</f>
        <v>216</v>
      </c>
      <c r="BD488" s="127" t="s">
        <v>1371</v>
      </c>
      <c r="BE488" s="9" t="s">
        <v>1287</v>
      </c>
      <c r="BF488" s="119">
        <v>3</v>
      </c>
      <c r="BG488" s="51" t="s">
        <v>1277</v>
      </c>
      <c r="BH488" s="51" t="s">
        <v>1277</v>
      </c>
      <c r="BI488" s="9"/>
      <c r="BJ488" s="111" t="s">
        <v>1283</v>
      </c>
      <c r="BK488" s="112" t="s">
        <v>1283</v>
      </c>
      <c r="BL488" s="112" t="s">
        <v>1283</v>
      </c>
      <c r="BM488" s="112" t="s">
        <v>1283</v>
      </c>
      <c r="BN488" s="112" t="s">
        <v>1283</v>
      </c>
      <c r="BO488" s="112" t="s">
        <v>1283</v>
      </c>
      <c r="BP488" s="112" t="s">
        <v>1283</v>
      </c>
      <c r="BQ488" s="112" t="s">
        <v>1283</v>
      </c>
      <c r="BR488" s="112" t="s">
        <v>1283</v>
      </c>
      <c r="BS488" s="112" t="s">
        <v>1283</v>
      </c>
      <c r="BT488" s="112" t="s">
        <v>1283</v>
      </c>
      <c r="BU488" s="112" t="s">
        <v>1283</v>
      </c>
      <c r="BV488" s="111">
        <f t="shared" ref="BV488" si="5007">E488</f>
        <v>478</v>
      </c>
      <c r="BW488" s="113">
        <f t="shared" ref="BW488" si="5008">I488</f>
        <v>509</v>
      </c>
      <c r="BX488" s="114">
        <f t="shared" ref="BX488" si="5009">M488</f>
        <v>516</v>
      </c>
      <c r="BY488" s="113" t="str">
        <f t="shared" ref="BY488" si="5010">Q488</f>
        <v>-</v>
      </c>
      <c r="BZ488" s="114">
        <f t="shared" ref="BZ488" si="5011">U488</f>
        <v>545</v>
      </c>
      <c r="CA488" s="113" t="str">
        <f t="shared" ref="CA488" si="5012">Y488</f>
        <v>-</v>
      </c>
      <c r="CB488" s="114">
        <f t="shared" ref="CB488" si="5013">AC488</f>
        <v>596</v>
      </c>
      <c r="CC488" s="113">
        <f t="shared" ref="CC488" si="5014">AG488</f>
        <v>648</v>
      </c>
      <c r="CD488" s="114">
        <f t="shared" ref="CD488" si="5015">AK488</f>
        <v>653</v>
      </c>
      <c r="CE488" s="113">
        <f t="shared" ref="CE488" si="5016">AO488</f>
        <v>688</v>
      </c>
      <c r="CF488" s="114">
        <f t="shared" ref="CF488" si="5017">AS488</f>
        <v>716</v>
      </c>
      <c r="CG488" s="113" t="str">
        <f t="shared" ref="CG488" si="5018">AW488</f>
        <v>-</v>
      </c>
      <c r="CH488" s="111">
        <f t="shared" ref="CH488" si="5019">G488</f>
        <v>506</v>
      </c>
      <c r="CI488" s="113">
        <f t="shared" ref="CI488" si="5020">K488</f>
        <v>515</v>
      </c>
      <c r="CJ488" s="114">
        <f t="shared" ref="CJ488" si="5021">O488</f>
        <v>538</v>
      </c>
      <c r="CK488" s="114" t="str">
        <f t="shared" ref="CK488" si="5022">S488</f>
        <v>-</v>
      </c>
      <c r="CL488" s="114">
        <f t="shared" ref="CL488" si="5023">W488</f>
        <v>583</v>
      </c>
      <c r="CM488" s="114" t="str">
        <f t="shared" ref="CM488" si="5024">AA488</f>
        <v>-</v>
      </c>
      <c r="CN488" s="114">
        <f t="shared" ref="CN488" si="5025">AE488</f>
        <v>619</v>
      </c>
      <c r="CO488" s="114">
        <f t="shared" ref="CO488" si="5026">AI488</f>
        <v>650</v>
      </c>
      <c r="CP488" s="114">
        <f t="shared" ref="CP488" si="5027">AM488</f>
        <v>681</v>
      </c>
      <c r="CQ488" s="114">
        <f t="shared" ref="CQ488" si="5028">AQ488</f>
        <v>713</v>
      </c>
      <c r="CR488" s="114">
        <f t="shared" ref="CR488" si="5029">AU488</f>
        <v>748</v>
      </c>
      <c r="CS488" s="114" t="str">
        <f t="shared" ref="CS488" si="5030">AY488</f>
        <v>-</v>
      </c>
      <c r="CT488" s="109">
        <f t="shared" ref="CT488" si="5031">M488-K488</f>
        <v>1</v>
      </c>
    </row>
    <row r="489" spans="1:1030" s="12" customFormat="1" x14ac:dyDescent="0.2">
      <c r="A489" s="9" t="str">
        <f t="shared" ref="A489" si="5032">CONCATENATE(B489,"_",C489)</f>
        <v>gabr2_human_7C7S</v>
      </c>
      <c r="B489" s="9" t="s">
        <v>107</v>
      </c>
      <c r="C489" s="9" t="s">
        <v>1713</v>
      </c>
      <c r="D489" s="9" t="str">
        <f>IFERROR(MID(VLOOKUP($B489,Seqs!$A:$B,2,0),E489,1),"")</f>
        <v>S</v>
      </c>
      <c r="E489" s="9">
        <v>478</v>
      </c>
      <c r="F489" s="9" t="str">
        <f>IFERROR(MID(VLOOKUP($B489,Seqs!$A:$B,2,0),G489,1),"")</f>
        <v>N</v>
      </c>
      <c r="G489" s="9">
        <v>506</v>
      </c>
      <c r="H489" s="9" t="str">
        <f>IFERROR(MID(VLOOKUP($B489,Seqs!$A:$B,2,0),I489,1),"")</f>
        <v>Q</v>
      </c>
      <c r="I489" s="109">
        <v>509</v>
      </c>
      <c r="J489" s="9" t="str">
        <f>IFERROR(MID(VLOOKUP($B489,Seqs!$A:$B,2,0),K489,1),"")</f>
        <v>S</v>
      </c>
      <c r="K489" s="109">
        <v>515</v>
      </c>
      <c r="L489" s="9" t="str">
        <f>IFERROR(MID(VLOOKUP($B489,Seqs!$A:$B,2,0),M489,1),"")</f>
        <v>S</v>
      </c>
      <c r="M489" s="9">
        <v>516</v>
      </c>
      <c r="N489" s="9" t="str">
        <f>IFERROR(MID(VLOOKUP($B489,Seqs!$A:$B,2,0),O489,1),"")</f>
        <v>G</v>
      </c>
      <c r="O489" s="9">
        <v>538</v>
      </c>
      <c r="P489" s="9" t="str">
        <f>IFERROR(MID(VLOOKUP($B489,Seqs!$A:$B,2,0),Q489,1),"")</f>
        <v/>
      </c>
      <c r="Q489" s="9" t="s">
        <v>23</v>
      </c>
      <c r="R489" s="9" t="str">
        <f>IFERROR(MID(VLOOKUP($B489,Seqs!$A:$B,2,0),S489,1),"")</f>
        <v/>
      </c>
      <c r="S489" s="9" t="s">
        <v>23</v>
      </c>
      <c r="T489" s="9" t="str">
        <f>IFERROR(MID(VLOOKUP($B489,Seqs!$A:$B,2,0),U489,1),"")</f>
        <v>S</v>
      </c>
      <c r="U489" s="9">
        <v>545</v>
      </c>
      <c r="V489" s="9" t="str">
        <f>IFERROR(MID(VLOOKUP($B489,Seqs!$A:$B,2,0),W489,1),"")</f>
        <v>K</v>
      </c>
      <c r="W489" s="9">
        <v>583</v>
      </c>
      <c r="X489" s="9" t="str">
        <f>IFERROR(MID(VLOOKUP($B489,Seqs!$A:$B,2,0),Y489,1),"")</f>
        <v/>
      </c>
      <c r="Y489" s="9" t="s">
        <v>23</v>
      </c>
      <c r="Z489" s="9" t="str">
        <f>IFERROR(MID(VLOOKUP($B489,Seqs!$A:$B,2,0),AA489,1),"")</f>
        <v/>
      </c>
      <c r="AA489" s="9" t="s">
        <v>23</v>
      </c>
      <c r="AB489" s="9" t="str">
        <f>IFERROR(MID(VLOOKUP($B489,Seqs!$A:$B,2,0),AC489,1),"")</f>
        <v>K</v>
      </c>
      <c r="AC489" s="9">
        <v>596</v>
      </c>
      <c r="AD489" s="9" t="str">
        <f>IFERROR(MID(VLOOKUP($B489,Seqs!$A:$B,2,0),AE489,1),"")</f>
        <v>D</v>
      </c>
      <c r="AE489" s="9">
        <v>619</v>
      </c>
      <c r="AF489" s="9" t="str">
        <f>IFERROR(MID(VLOOKUP($B489,Seqs!$A:$B,2,0),AG489,1),"")</f>
        <v>C</v>
      </c>
      <c r="AG489" s="9">
        <v>648</v>
      </c>
      <c r="AH489" s="9" t="str">
        <f>IFERROR(MID(VLOOKUP($B489,Seqs!$A:$B,2,0),AI489,1),"")</f>
        <v>N</v>
      </c>
      <c r="AI489" s="9">
        <v>650</v>
      </c>
      <c r="AJ489" s="9" t="str">
        <f>IFERROR(MID(VLOOKUP($B489,Seqs!$A:$B,2,0),AK489,1),"")</f>
        <v>H</v>
      </c>
      <c r="AK489" s="9">
        <v>652</v>
      </c>
      <c r="AL489" s="9" t="str">
        <f>IFERROR(MID(VLOOKUP($B489,Seqs!$A:$B,2,0),AM489,1),"")</f>
        <v>T</v>
      </c>
      <c r="AM489" s="9">
        <v>678</v>
      </c>
      <c r="AN489" s="9" t="str">
        <f>IFERROR(MID(VLOOKUP($B489,Seqs!$A:$B,2,0),AO489,1),"")</f>
        <v>S</v>
      </c>
      <c r="AO489" s="9">
        <v>689</v>
      </c>
      <c r="AP489" s="9" t="str">
        <f>IFERROR(MID(VLOOKUP($B489,Seqs!$A:$B,2,0),AQ489,1),"")</f>
        <v>T</v>
      </c>
      <c r="AQ489" s="9">
        <v>713</v>
      </c>
      <c r="AR489" s="9" t="str">
        <f>IFERROR(MID(VLOOKUP($B489,Seqs!$A:$B,2,0),AS489,1),"")</f>
        <v>Q</v>
      </c>
      <c r="AS489" s="9">
        <v>716</v>
      </c>
      <c r="AT489" s="9" t="str">
        <f>IFERROR(MID(VLOOKUP($B489,Seqs!$A:$B,2,0),AU489,1),"")</f>
        <v>T</v>
      </c>
      <c r="AU489" s="9">
        <v>749</v>
      </c>
      <c r="AV489" s="9" t="str">
        <f>IFERROR(MID(VLOOKUP($B489,Seqs!$A:$B,2,0),AW489,1),"")</f>
        <v/>
      </c>
      <c r="AW489" s="9" t="s">
        <v>23</v>
      </c>
      <c r="AX489" s="9" t="str">
        <f>IFERROR(MID(VLOOKUP($B489,Seqs!$A:$B,2,0),AY489,1),"")</f>
        <v/>
      </c>
      <c r="AY489" s="9" t="s">
        <v>23</v>
      </c>
      <c r="AZ489" s="110" t="str">
        <f>VLOOKUP(B489,Classification!A:D,2,0)</f>
        <v>C</v>
      </c>
      <c r="BA489" s="98" t="str">
        <f>VLOOKUP(B489,Classification!A:D,4,0)</f>
        <v>GABA&lt;sub&gt;B&lt;/sub&gt;</v>
      </c>
      <c r="BB489" s="36" t="b">
        <f t="shared" ref="BB489" si="5033">AND(E489&lt;G489,OR(G489&lt;I489,I489="-"),OR(I489&lt;K489,I489="-"),OR(K489&lt;M489,K489="-"),M489&lt;O489,OR(O489&lt;Q489,Q489="-"),OR(Q489&lt;S489,Q489="-"),OR(S489&lt;U489,S489="-"),U489&lt;W489,OR(W489&lt;Y489,Y489="-"),OR(Y489&lt;AA489,Y489="-"),OR(AA489&lt;AC489,AA489="-"),AC489&lt;AE489,OR(AE489&lt;AG489,AG489="-"),OR(AG489&lt;AI489,AG489="-"),OR(AI489&lt;AK489,AI489="-"),AK489&lt;AM489,AM489&lt;AO489,AO489&lt;AQ489,AQ489&lt;AS489,AS489&lt;AU489,OR(AU489&lt;AW489,AW489="-"),OR(AW489&lt;AY489,AW489="-"))</f>
        <v>1</v>
      </c>
      <c r="BC489" s="109">
        <f t="shared" ref="BC489" si="5034">_xlfn.AGGREGATE(9,6,CH489:CS489)-_xlfn.AGGREGATE(9,6,BV489:CG489)+12</f>
        <v>214</v>
      </c>
      <c r="BD489" s="127" t="s">
        <v>1372</v>
      </c>
      <c r="BE489" s="9" t="s">
        <v>1370</v>
      </c>
      <c r="BF489" s="119">
        <v>2.9</v>
      </c>
      <c r="BG489" s="51" t="s">
        <v>1277</v>
      </c>
      <c r="BH489" s="51" t="s">
        <v>1277</v>
      </c>
      <c r="BI489" s="9"/>
      <c r="BJ489" s="111" t="s">
        <v>1283</v>
      </c>
      <c r="BK489" s="112" t="s">
        <v>1283</v>
      </c>
      <c r="BL489" s="112" t="s">
        <v>1283</v>
      </c>
      <c r="BM489" s="112" t="s">
        <v>1283</v>
      </c>
      <c r="BN489" s="112" t="s">
        <v>1283</v>
      </c>
      <c r="BO489" s="112" t="s">
        <v>1283</v>
      </c>
      <c r="BP489" s="112" t="s">
        <v>1283</v>
      </c>
      <c r="BQ489" s="112" t="s">
        <v>1283</v>
      </c>
      <c r="BR489" s="112" t="s">
        <v>1283</v>
      </c>
      <c r="BS489" s="112" t="s">
        <v>1283</v>
      </c>
      <c r="BT489" s="112" t="s">
        <v>1283</v>
      </c>
      <c r="BU489" s="112" t="s">
        <v>1283</v>
      </c>
      <c r="BV489" s="111">
        <f t="shared" ref="BV489" si="5035">E489</f>
        <v>478</v>
      </c>
      <c r="BW489" s="113">
        <f t="shared" ref="BW489" si="5036">I489</f>
        <v>509</v>
      </c>
      <c r="BX489" s="114">
        <f t="shared" ref="BX489" si="5037">M489</f>
        <v>516</v>
      </c>
      <c r="BY489" s="113" t="str">
        <f t="shared" ref="BY489" si="5038">Q489</f>
        <v>-</v>
      </c>
      <c r="BZ489" s="114">
        <f t="shared" ref="BZ489" si="5039">U489</f>
        <v>545</v>
      </c>
      <c r="CA489" s="113" t="str">
        <f t="shared" ref="CA489" si="5040">Y489</f>
        <v>-</v>
      </c>
      <c r="CB489" s="114">
        <f t="shared" ref="CB489" si="5041">AC489</f>
        <v>596</v>
      </c>
      <c r="CC489" s="113">
        <f t="shared" ref="CC489" si="5042">AG489</f>
        <v>648</v>
      </c>
      <c r="CD489" s="114">
        <f t="shared" ref="CD489" si="5043">AK489</f>
        <v>652</v>
      </c>
      <c r="CE489" s="113">
        <f t="shared" ref="CE489" si="5044">AO489</f>
        <v>689</v>
      </c>
      <c r="CF489" s="114">
        <f t="shared" ref="CF489" si="5045">AS489</f>
        <v>716</v>
      </c>
      <c r="CG489" s="113" t="str">
        <f t="shared" ref="CG489" si="5046">AW489</f>
        <v>-</v>
      </c>
      <c r="CH489" s="111">
        <f t="shared" ref="CH489" si="5047">G489</f>
        <v>506</v>
      </c>
      <c r="CI489" s="113">
        <f t="shared" ref="CI489" si="5048">K489</f>
        <v>515</v>
      </c>
      <c r="CJ489" s="114">
        <f t="shared" ref="CJ489" si="5049">O489</f>
        <v>538</v>
      </c>
      <c r="CK489" s="114" t="str">
        <f t="shared" ref="CK489" si="5050">S489</f>
        <v>-</v>
      </c>
      <c r="CL489" s="114">
        <f t="shared" ref="CL489" si="5051">W489</f>
        <v>583</v>
      </c>
      <c r="CM489" s="114" t="str">
        <f t="shared" ref="CM489" si="5052">AA489</f>
        <v>-</v>
      </c>
      <c r="CN489" s="114">
        <f t="shared" ref="CN489" si="5053">AE489</f>
        <v>619</v>
      </c>
      <c r="CO489" s="114">
        <f t="shared" ref="CO489" si="5054">AI489</f>
        <v>650</v>
      </c>
      <c r="CP489" s="114">
        <f t="shared" ref="CP489" si="5055">AM489</f>
        <v>678</v>
      </c>
      <c r="CQ489" s="114">
        <f t="shared" ref="CQ489" si="5056">AQ489</f>
        <v>713</v>
      </c>
      <c r="CR489" s="114">
        <f t="shared" ref="CR489" si="5057">AU489</f>
        <v>749</v>
      </c>
      <c r="CS489" s="114" t="str">
        <f t="shared" ref="CS489" si="5058">AY489</f>
        <v>-</v>
      </c>
      <c r="CT489" s="109">
        <f t="shared" ref="CT489" si="5059">M489-K489</f>
        <v>1</v>
      </c>
    </row>
    <row r="490" spans="1:1030" x14ac:dyDescent="0.2">
      <c r="A490" s="3" t="str">
        <f t="shared" si="4218"/>
        <v>grm1_human__wt</v>
      </c>
      <c r="B490" s="3" t="s">
        <v>40</v>
      </c>
      <c r="C490" s="3" t="s">
        <v>100</v>
      </c>
      <c r="D490" s="3" t="str">
        <f>IFERROR(MID(VLOOKUP($B490,Seqs!$A:$B,2,0),E490,1),"")</f>
        <v>I</v>
      </c>
      <c r="E490" s="3">
        <v>591</v>
      </c>
      <c r="F490" s="3" t="str">
        <f>IFERROR(MID(VLOOKUP($B490,Seqs!$A:$B,2,0),G490,1),"")</f>
        <v>Y</v>
      </c>
      <c r="G490" s="3">
        <v>617</v>
      </c>
      <c r="H490" s="3" t="str">
        <f>IFERROR(MID(VLOOKUP($B490,Seqs!$A:$B,2,0),I490,1),"")</f>
        <v>T</v>
      </c>
      <c r="I490" s="23">
        <v>620</v>
      </c>
      <c r="J490" s="3" t="str">
        <f>IFERROR(MID(VLOOKUP($B490,Seqs!$A:$B,2,0),K490,1),"")</f>
        <v>S</v>
      </c>
      <c r="K490" s="23">
        <v>626</v>
      </c>
      <c r="L490" s="3" t="str">
        <f>IFERROR(MID(VLOOKUP($B490,Seqs!$A:$B,2,0),M490,1),"")</f>
        <v>S</v>
      </c>
      <c r="M490" s="3">
        <v>627</v>
      </c>
      <c r="N490" s="3" t="str">
        <f>IFERROR(MID(VLOOKUP($B490,Seqs!$A:$B,2,0),O490,1),"")</f>
        <v>I</v>
      </c>
      <c r="O490" s="3">
        <v>649</v>
      </c>
      <c r="P490" s="3" t="str">
        <f>IFERROR(MID(VLOOKUP($B490,Seqs!$A:$B,2,0),Q490,1),"")</f>
        <v/>
      </c>
      <c r="Q490" s="3" t="s">
        <v>23</v>
      </c>
      <c r="R490" s="3" t="str">
        <f>IFERROR(MID(VLOOKUP($B490,Seqs!$A:$B,2,0),S490,1),"")</f>
        <v/>
      </c>
      <c r="S490" s="3" t="s">
        <v>23</v>
      </c>
      <c r="T490" s="3" t="str">
        <f>IFERROR(MID(VLOOKUP($B490,Seqs!$A:$B,2,0),U490,1),"")</f>
        <v>T</v>
      </c>
      <c r="U490" s="3">
        <v>654</v>
      </c>
      <c r="V490" s="3" t="str">
        <f>IFERROR(MID(VLOOKUP($B490,Seqs!$A:$B,2,0),W490,1),"")</f>
        <v>L</v>
      </c>
      <c r="W490" s="3">
        <v>686</v>
      </c>
      <c r="X490" s="3" t="str">
        <f>IFERROR(MID(VLOOKUP($B490,Seqs!$A:$B,2,0),Y490,1),"")</f>
        <v/>
      </c>
      <c r="Y490" s="3" t="s">
        <v>23</v>
      </c>
      <c r="Z490" s="3" t="str">
        <f>IFERROR(MID(VLOOKUP($B490,Seqs!$A:$B,2,0),AA490,1),"")</f>
        <v/>
      </c>
      <c r="AA490" s="3" t="s">
        <v>23</v>
      </c>
      <c r="AB490" s="3" t="str">
        <f>IFERROR(MID(VLOOKUP($B490,Seqs!$A:$B,2,0),AC490,1),"")</f>
        <v>S</v>
      </c>
      <c r="AC490" s="3">
        <v>702</v>
      </c>
      <c r="AD490" s="3" t="str">
        <f>IFERROR(MID(VLOOKUP($B490,Seqs!$A:$B,2,0),AE490,1),"")</f>
        <v>E</v>
      </c>
      <c r="AE490" s="3">
        <v>728</v>
      </c>
      <c r="AF490" s="3" t="str">
        <f>IFERROR(MID(VLOOKUP($B490,Seqs!$A:$B,2,0),AG490,1),"")</f>
        <v>C</v>
      </c>
      <c r="AG490" s="3">
        <v>746</v>
      </c>
      <c r="AH490" s="3" t="str">
        <f>IFERROR(MID(VLOOKUP($B490,Seqs!$A:$B,2,0),AI490,1),"")</f>
        <v>T</v>
      </c>
      <c r="AI490" s="3">
        <v>748</v>
      </c>
      <c r="AJ490" s="3" t="str">
        <f>IFERROR(MID(VLOOKUP($B490,Seqs!$A:$B,2,0),AK490,1),"")</f>
        <v>S</v>
      </c>
      <c r="AK490" s="3">
        <v>749</v>
      </c>
      <c r="AL490" s="3" t="str">
        <f>IFERROR(MID(VLOOKUP($B490,Seqs!$A:$B,2,0),AM490,1),"")</f>
        <v>T</v>
      </c>
      <c r="AM490" s="3">
        <v>774</v>
      </c>
      <c r="AN490" s="3" t="str">
        <f>IFERROR(MID(VLOOKUP($B490,Seqs!$A:$B,2,0),AO490,1),"")</f>
        <v>E</v>
      </c>
      <c r="AO490" s="3">
        <v>783</v>
      </c>
      <c r="AP490" s="3" t="str">
        <f>IFERROR(MID(VLOOKUP($B490,Seqs!$A:$B,2,0),AQ490,1),"")</f>
        <v>G</v>
      </c>
      <c r="AQ490" s="3">
        <v>807</v>
      </c>
      <c r="AR490" s="3" t="str">
        <f>IFERROR(MID(VLOOKUP($B490,Seqs!$A:$B,2,0),AS490,1),"")</f>
        <v>Y</v>
      </c>
      <c r="AS490" s="3">
        <v>810</v>
      </c>
      <c r="AT490" s="3" t="str">
        <f>IFERROR(MID(VLOOKUP($B490,Seqs!$A:$B,2,0),AU490,1),"")</f>
        <v>K</v>
      </c>
      <c r="AU490" s="3">
        <v>841</v>
      </c>
      <c r="AV490" s="3" t="str">
        <f>IFERROR(MID(VLOOKUP($B490,Seqs!$A:$B,2,0),AW490,1),"")</f>
        <v>P</v>
      </c>
      <c r="AW490" s="3">
        <v>842</v>
      </c>
      <c r="AX490" s="3" t="str">
        <f>IFERROR(MID(VLOOKUP($B490,Seqs!$A:$B,2,0),AY490,1),"")</f>
        <v>S</v>
      </c>
      <c r="AY490" s="3">
        <v>853</v>
      </c>
      <c r="AZ490" s="77" t="str">
        <f>VLOOKUP(B490,Classification!A:D,2,0)</f>
        <v>C</v>
      </c>
      <c r="BA490" s="94" t="str">
        <f>VLOOKUP(B490,Classification!A:D,4,0)</f>
        <v>Metabotropicglutamate</v>
      </c>
      <c r="BB490" s="27" t="b">
        <f t="shared" si="4219"/>
        <v>1</v>
      </c>
      <c r="BC490" s="23">
        <f t="shared" si="4108"/>
        <v>217</v>
      </c>
      <c r="BD490" s="56" t="s">
        <v>23</v>
      </c>
      <c r="BE490" s="3" t="s">
        <v>23</v>
      </c>
      <c r="BF490" s="118" t="s">
        <v>23</v>
      </c>
      <c r="BG490" s="49" t="s">
        <v>1368</v>
      </c>
      <c r="BH490" s="49" t="s">
        <v>1373</v>
      </c>
      <c r="BI490" s="3" t="s">
        <v>1159</v>
      </c>
      <c r="BJ490" s="70" t="s">
        <v>1283</v>
      </c>
      <c r="BK490" s="57" t="s">
        <v>1283</v>
      </c>
      <c r="BL490" s="57" t="s">
        <v>1283</v>
      </c>
      <c r="BM490" s="57" t="s">
        <v>1283</v>
      </c>
      <c r="BN490" s="57" t="s">
        <v>1283</v>
      </c>
      <c r="BO490" s="57" t="s">
        <v>1283</v>
      </c>
      <c r="BP490" s="57" t="s">
        <v>1283</v>
      </c>
      <c r="BQ490" s="57" t="s">
        <v>1283</v>
      </c>
      <c r="BR490" s="57" t="s">
        <v>1283</v>
      </c>
      <c r="BS490" s="57" t="s">
        <v>1283</v>
      </c>
      <c r="BT490" s="57" t="s">
        <v>1283</v>
      </c>
      <c r="BU490" s="57" t="s">
        <v>1283</v>
      </c>
      <c r="BV490" s="70">
        <f t="shared" si="4109"/>
        <v>591</v>
      </c>
      <c r="BW490" s="71">
        <f t="shared" si="4110"/>
        <v>620</v>
      </c>
      <c r="BX490" s="72">
        <f t="shared" si="4111"/>
        <v>627</v>
      </c>
      <c r="BY490" s="71" t="str">
        <f t="shared" si="4112"/>
        <v>-</v>
      </c>
      <c r="BZ490" s="72">
        <f t="shared" si="4113"/>
        <v>654</v>
      </c>
      <c r="CA490" s="71" t="str">
        <f t="shared" si="4114"/>
        <v>-</v>
      </c>
      <c r="CB490" s="72">
        <f t="shared" si="4115"/>
        <v>702</v>
      </c>
      <c r="CC490" s="71">
        <f t="shared" si="4116"/>
        <v>746</v>
      </c>
      <c r="CD490" s="72">
        <f t="shared" si="4117"/>
        <v>749</v>
      </c>
      <c r="CE490" s="71">
        <f t="shared" si="4118"/>
        <v>783</v>
      </c>
      <c r="CF490" s="72">
        <f t="shared" si="4119"/>
        <v>810</v>
      </c>
      <c r="CG490" s="71">
        <f t="shared" si="4120"/>
        <v>842</v>
      </c>
      <c r="CH490" s="70">
        <f t="shared" si="4121"/>
        <v>617</v>
      </c>
      <c r="CI490" s="71">
        <f t="shared" si="4122"/>
        <v>626</v>
      </c>
      <c r="CJ490" s="72">
        <f t="shared" si="4123"/>
        <v>649</v>
      </c>
      <c r="CK490" s="72" t="str">
        <f t="shared" si="4124"/>
        <v>-</v>
      </c>
      <c r="CL490" s="72">
        <f t="shared" si="4125"/>
        <v>686</v>
      </c>
      <c r="CM490" s="72" t="str">
        <f t="shared" si="4126"/>
        <v>-</v>
      </c>
      <c r="CN490" s="72">
        <f t="shared" si="4127"/>
        <v>728</v>
      </c>
      <c r="CO490" s="72">
        <f t="shared" si="4128"/>
        <v>748</v>
      </c>
      <c r="CP490" s="72">
        <f t="shared" si="4129"/>
        <v>774</v>
      </c>
      <c r="CQ490" s="72">
        <f t="shared" si="4130"/>
        <v>807</v>
      </c>
      <c r="CR490" s="72">
        <f t="shared" si="4131"/>
        <v>841</v>
      </c>
      <c r="CS490" s="72">
        <f t="shared" si="4132"/>
        <v>853</v>
      </c>
      <c r="CT490" s="23">
        <f t="shared" si="4133"/>
        <v>1</v>
      </c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  <c r="AMK490" s="1"/>
      <c r="AML490" s="1"/>
      <c r="AMM490" s="1"/>
      <c r="AMN490" s="1"/>
      <c r="AMO490" s="1"/>
    </row>
    <row r="491" spans="1:1030" x14ac:dyDescent="0.2">
      <c r="A491" s="3" t="str">
        <f t="shared" si="4218"/>
        <v>grm1_human_4OR2</v>
      </c>
      <c r="B491" s="3" t="s">
        <v>40</v>
      </c>
      <c r="C491" s="3" t="s">
        <v>96</v>
      </c>
      <c r="D491" s="3" t="str">
        <f>IFERROR(MID(VLOOKUP($B491,Seqs!$A:$B,2,0),E491,1),"")</f>
        <v>I</v>
      </c>
      <c r="E491" s="3">
        <v>591</v>
      </c>
      <c r="F491" s="3" t="str">
        <f>IFERROR(MID(VLOOKUP($B491,Seqs!$A:$B,2,0),G491,1),"")</f>
        <v>Y</v>
      </c>
      <c r="G491" s="3">
        <v>617</v>
      </c>
      <c r="H491" s="3" t="str">
        <f>IFERROR(MID(VLOOKUP($B491,Seqs!$A:$B,2,0),I491,1),"")</f>
        <v>T</v>
      </c>
      <c r="I491" s="23">
        <v>620</v>
      </c>
      <c r="J491" s="3" t="str">
        <f>IFERROR(MID(VLOOKUP($B491,Seqs!$A:$B,2,0),K491,1),"")</f>
        <v>S</v>
      </c>
      <c r="K491" s="23">
        <v>626</v>
      </c>
      <c r="L491" s="3" t="str">
        <f>IFERROR(MID(VLOOKUP($B491,Seqs!$A:$B,2,0),M491,1),"")</f>
        <v>S</v>
      </c>
      <c r="M491" s="3">
        <v>627</v>
      </c>
      <c r="N491" s="3" t="str">
        <f>IFERROR(MID(VLOOKUP($B491,Seqs!$A:$B,2,0),O491,1),"")</f>
        <v>I</v>
      </c>
      <c r="O491" s="3">
        <v>649</v>
      </c>
      <c r="P491" s="3" t="str">
        <f>IFERROR(MID(VLOOKUP($B491,Seqs!$A:$B,2,0),Q491,1),"")</f>
        <v/>
      </c>
      <c r="Q491" s="3" t="s">
        <v>23</v>
      </c>
      <c r="R491" s="3" t="str">
        <f>IFERROR(MID(VLOOKUP($B491,Seqs!$A:$B,2,0),S491,1),"")</f>
        <v/>
      </c>
      <c r="S491" s="3" t="s">
        <v>23</v>
      </c>
      <c r="T491" s="3" t="str">
        <f>IFERROR(MID(VLOOKUP($B491,Seqs!$A:$B,2,0),U491,1),"")</f>
        <v>T</v>
      </c>
      <c r="U491" s="3">
        <v>654</v>
      </c>
      <c r="V491" s="3" t="str">
        <f>IFERROR(MID(VLOOKUP($B491,Seqs!$A:$B,2,0),W491,1),"")</f>
        <v>L</v>
      </c>
      <c r="W491" s="3">
        <v>686</v>
      </c>
      <c r="X491" s="3" t="str">
        <f>IFERROR(MID(VLOOKUP($B491,Seqs!$A:$B,2,0),Y491,1),"")</f>
        <v/>
      </c>
      <c r="Y491" s="3" t="s">
        <v>23</v>
      </c>
      <c r="Z491" s="3" t="str">
        <f>IFERROR(MID(VLOOKUP($B491,Seqs!$A:$B,2,0),AA491,1),"")</f>
        <v/>
      </c>
      <c r="AA491" s="3" t="s">
        <v>23</v>
      </c>
      <c r="AB491" s="3" t="str">
        <f>IFERROR(MID(VLOOKUP($B491,Seqs!$A:$B,2,0),AC491,1),"")</f>
        <v>S</v>
      </c>
      <c r="AC491" s="9">
        <v>702</v>
      </c>
      <c r="AD491" s="3" t="str">
        <f>IFERROR(MID(VLOOKUP($B491,Seqs!$A:$B,2,0),AE491,1),"")</f>
        <v>E</v>
      </c>
      <c r="AE491" s="3">
        <v>728</v>
      </c>
      <c r="AF491" s="3" t="str">
        <f>IFERROR(MID(VLOOKUP($B491,Seqs!$A:$B,2,0),AG491,1),"")</f>
        <v>C</v>
      </c>
      <c r="AG491" s="3">
        <v>746</v>
      </c>
      <c r="AH491" s="3" t="str">
        <f>IFERROR(MID(VLOOKUP($B491,Seqs!$A:$B,2,0),AI491,1),"")</f>
        <v>T</v>
      </c>
      <c r="AI491" s="3">
        <v>748</v>
      </c>
      <c r="AJ491" s="3" t="str">
        <f>IFERROR(MID(VLOOKUP($B491,Seqs!$A:$B,2,0),AK491,1),"")</f>
        <v>S</v>
      </c>
      <c r="AK491" s="105">
        <v>749</v>
      </c>
      <c r="AL491" s="3" t="str">
        <f>IFERROR(MID(VLOOKUP($B491,Seqs!$A:$B,2,0),AM491,1),"")</f>
        <v>T</v>
      </c>
      <c r="AM491" s="3">
        <v>774</v>
      </c>
      <c r="AN491" s="3" t="str">
        <f>IFERROR(MID(VLOOKUP($B491,Seqs!$A:$B,2,0),AO491,1),"")</f>
        <v>E</v>
      </c>
      <c r="AO491" s="3">
        <v>783</v>
      </c>
      <c r="AP491" s="3" t="str">
        <f>IFERROR(MID(VLOOKUP($B491,Seqs!$A:$B,2,0),AQ491,1),"")</f>
        <v>G</v>
      </c>
      <c r="AQ491" s="3">
        <v>807</v>
      </c>
      <c r="AR491" s="3" t="str">
        <f>IFERROR(MID(VLOOKUP($B491,Seqs!$A:$B,2,0),AS491,1),"")</f>
        <v>Y</v>
      </c>
      <c r="AS491" s="105">
        <v>810</v>
      </c>
      <c r="AT491" s="3" t="str">
        <f>IFERROR(MID(VLOOKUP($B491,Seqs!$A:$B,2,0),AU491,1),"")</f>
        <v>K</v>
      </c>
      <c r="AU491" s="3">
        <v>841</v>
      </c>
      <c r="AV491" s="3" t="str">
        <f>IFERROR(MID(VLOOKUP($B491,Seqs!$A:$B,2,0),AW491,1),"")</f>
        <v/>
      </c>
      <c r="AW491" s="3" t="s">
        <v>23</v>
      </c>
      <c r="AX491" s="3" t="str">
        <f>IFERROR(MID(VLOOKUP($B491,Seqs!$A:$B,2,0),AY491,1),"")</f>
        <v/>
      </c>
      <c r="AY491" s="3" t="s">
        <v>23</v>
      </c>
      <c r="AZ491" s="77" t="str">
        <f>VLOOKUP(B491,Classification!A:D,2,0)</f>
        <v>C</v>
      </c>
      <c r="BA491" s="94" t="str">
        <f>VLOOKUP(B491,Classification!A:D,4,0)</f>
        <v>Metabotropicglutamate</v>
      </c>
      <c r="BB491" s="27" t="b">
        <f t="shared" si="4219"/>
        <v>1</v>
      </c>
      <c r="BC491" s="23">
        <f t="shared" si="4108"/>
        <v>206</v>
      </c>
      <c r="BD491" s="2" t="s">
        <v>1372</v>
      </c>
      <c r="BE491" s="3" t="s">
        <v>1370</v>
      </c>
      <c r="BF491" s="118">
        <v>2.8</v>
      </c>
      <c r="BG491" s="49" t="s">
        <v>1373</v>
      </c>
      <c r="BH491" s="49" t="s">
        <v>1373</v>
      </c>
      <c r="BJ491" s="70" t="s">
        <v>1283</v>
      </c>
      <c r="BK491" s="57" t="s">
        <v>1283</v>
      </c>
      <c r="BL491" s="57" t="s">
        <v>1283</v>
      </c>
      <c r="BM491" s="57" t="s">
        <v>1283</v>
      </c>
      <c r="BN491" s="57" t="s">
        <v>1283</v>
      </c>
      <c r="BO491" s="57" t="s">
        <v>1283</v>
      </c>
      <c r="BP491" s="57" t="s">
        <v>1283</v>
      </c>
      <c r="BQ491" s="57" t="s">
        <v>1283</v>
      </c>
      <c r="BR491" s="57" t="s">
        <v>1283</v>
      </c>
      <c r="BS491" s="57" t="s">
        <v>1283</v>
      </c>
      <c r="BT491" s="57" t="s">
        <v>1283</v>
      </c>
      <c r="BU491" s="57" t="s">
        <v>1283</v>
      </c>
      <c r="BV491" s="70">
        <f t="shared" si="4109"/>
        <v>591</v>
      </c>
      <c r="BW491" s="71">
        <f t="shared" si="4110"/>
        <v>620</v>
      </c>
      <c r="BX491" s="72">
        <f t="shared" si="4111"/>
        <v>627</v>
      </c>
      <c r="BY491" s="71" t="str">
        <f t="shared" si="4112"/>
        <v>-</v>
      </c>
      <c r="BZ491" s="72">
        <f t="shared" si="4113"/>
        <v>654</v>
      </c>
      <c r="CA491" s="71" t="str">
        <f t="shared" si="4114"/>
        <v>-</v>
      </c>
      <c r="CB491" s="72">
        <f t="shared" si="4115"/>
        <v>702</v>
      </c>
      <c r="CC491" s="71">
        <f t="shared" si="4116"/>
        <v>746</v>
      </c>
      <c r="CD491" s="72">
        <f t="shared" si="4117"/>
        <v>749</v>
      </c>
      <c r="CE491" s="71">
        <f t="shared" si="4118"/>
        <v>783</v>
      </c>
      <c r="CF491" s="72">
        <f t="shared" si="4119"/>
        <v>810</v>
      </c>
      <c r="CG491" s="71" t="str">
        <f t="shared" si="4120"/>
        <v>-</v>
      </c>
      <c r="CH491" s="70">
        <f t="shared" si="4121"/>
        <v>617</v>
      </c>
      <c r="CI491" s="71">
        <f t="shared" si="4122"/>
        <v>626</v>
      </c>
      <c r="CJ491" s="72">
        <f t="shared" si="4123"/>
        <v>649</v>
      </c>
      <c r="CK491" s="72" t="str">
        <f t="shared" si="4124"/>
        <v>-</v>
      </c>
      <c r="CL491" s="72">
        <f t="shared" si="4125"/>
        <v>686</v>
      </c>
      <c r="CM491" s="72" t="str">
        <f t="shared" si="4126"/>
        <v>-</v>
      </c>
      <c r="CN491" s="72">
        <f t="shared" si="4127"/>
        <v>728</v>
      </c>
      <c r="CO491" s="72">
        <f t="shared" si="4128"/>
        <v>748</v>
      </c>
      <c r="CP491" s="72">
        <f t="shared" si="4129"/>
        <v>774</v>
      </c>
      <c r="CQ491" s="72">
        <f t="shared" si="4130"/>
        <v>807</v>
      </c>
      <c r="CR491" s="72">
        <f t="shared" si="4131"/>
        <v>841</v>
      </c>
      <c r="CS491" s="72" t="str">
        <f t="shared" si="4132"/>
        <v>-</v>
      </c>
      <c r="CT491" s="23">
        <f t="shared" si="4133"/>
        <v>1</v>
      </c>
    </row>
    <row r="492" spans="1:1030" x14ac:dyDescent="0.2">
      <c r="A492" s="3" t="str">
        <f t="shared" si="4218"/>
        <v>grm5_human__wt</v>
      </c>
      <c r="B492" s="3" t="s">
        <v>41</v>
      </c>
      <c r="C492" s="3" t="s">
        <v>100</v>
      </c>
      <c r="D492" s="3" t="str">
        <f>IFERROR(MID(VLOOKUP($B492,Seqs!$A:$B,2,0),E492,1),"")</f>
        <v>P</v>
      </c>
      <c r="E492" s="3">
        <v>578</v>
      </c>
      <c r="F492" s="3" t="str">
        <f>IFERROR(MID(VLOOKUP($B492,Seqs!$A:$B,2,0),G492,1),"")</f>
        <v>Y</v>
      </c>
      <c r="G492" s="3">
        <v>604</v>
      </c>
      <c r="H492" s="3" t="str">
        <f>IFERROR(MID(VLOOKUP($B492,Seqs!$A:$B,2,0),I492,1),"")</f>
        <v>T</v>
      </c>
      <c r="I492" s="23">
        <v>607</v>
      </c>
      <c r="J492" s="3" t="str">
        <f>IFERROR(MID(VLOOKUP($B492,Seqs!$A:$B,2,0),K492,1),"")</f>
        <v>S</v>
      </c>
      <c r="K492" s="23">
        <v>613</v>
      </c>
      <c r="L492" s="3" t="str">
        <f>IFERROR(MID(VLOOKUP($B492,Seqs!$A:$B,2,0),M492,1),"")</f>
        <v>S</v>
      </c>
      <c r="M492" s="3">
        <v>614</v>
      </c>
      <c r="N492" s="3" t="str">
        <f>IFERROR(MID(VLOOKUP($B492,Seqs!$A:$B,2,0),O492,1),"")</f>
        <v>I</v>
      </c>
      <c r="O492" s="3">
        <v>636</v>
      </c>
      <c r="P492" s="3" t="str">
        <f>IFERROR(MID(VLOOKUP($B492,Seqs!$A:$B,2,0),Q492,1),"")</f>
        <v/>
      </c>
      <c r="Q492" s="3" t="s">
        <v>23</v>
      </c>
      <c r="R492" s="3" t="str">
        <f>IFERROR(MID(VLOOKUP($B492,Seqs!$A:$B,2,0),S492,1),"")</f>
        <v/>
      </c>
      <c r="S492" s="3" t="s">
        <v>23</v>
      </c>
      <c r="T492" s="3" t="str">
        <f>IFERROR(MID(VLOOKUP($B492,Seqs!$A:$B,2,0),U492,1),"")</f>
        <v>K</v>
      </c>
      <c r="U492" s="105">
        <v>640</v>
      </c>
      <c r="V492" s="3" t="str">
        <f>IFERROR(MID(VLOOKUP($B492,Seqs!$A:$B,2,0),W492,1),"")</f>
        <v>L</v>
      </c>
      <c r="W492" s="3">
        <v>673</v>
      </c>
      <c r="X492" s="3" t="str">
        <f>IFERROR(MID(VLOOKUP($B492,Seqs!$A:$B,2,0),Y492,1),"")</f>
        <v/>
      </c>
      <c r="Y492" s="3" t="s">
        <v>23</v>
      </c>
      <c r="Z492" s="3" t="str">
        <f>IFERROR(MID(VLOOKUP($B492,Seqs!$A:$B,2,0),AA492,1),"")</f>
        <v/>
      </c>
      <c r="AA492" s="3" t="s">
        <v>23</v>
      </c>
      <c r="AB492" s="3" t="str">
        <f>IFERROR(MID(VLOOKUP($B492,Seqs!$A:$B,2,0),AC492,1),"")</f>
        <v>S</v>
      </c>
      <c r="AC492" s="9">
        <v>689</v>
      </c>
      <c r="AD492" s="3" t="str">
        <f>IFERROR(MID(VLOOKUP($B492,Seqs!$A:$B,2,0),AE492,1),"")</f>
        <v>E</v>
      </c>
      <c r="AE492" s="3">
        <v>715</v>
      </c>
      <c r="AF492" s="3" t="str">
        <f>IFERROR(MID(VLOOKUP($B492,Seqs!$A:$B,2,0),AG492,1),"")</f>
        <v>C</v>
      </c>
      <c r="AG492" s="3">
        <v>733</v>
      </c>
      <c r="AH492" s="3" t="str">
        <f>IFERROR(MID(VLOOKUP($B492,Seqs!$A:$B,2,0),AI492,1),"")</f>
        <v>T</v>
      </c>
      <c r="AI492" s="3">
        <v>735</v>
      </c>
      <c r="AJ492" s="3" t="str">
        <f>IFERROR(MID(VLOOKUP($B492,Seqs!$A:$B,2,0),AK492,1),"")</f>
        <v>T</v>
      </c>
      <c r="AK492" s="105">
        <v>736</v>
      </c>
      <c r="AL492" s="3" t="str">
        <f>IFERROR(MID(VLOOKUP($B492,Seqs!$A:$B,2,0),AM492,1),"")</f>
        <v>T</v>
      </c>
      <c r="AM492" s="3">
        <v>761</v>
      </c>
      <c r="AN492" s="3" t="str">
        <f>IFERROR(MID(VLOOKUP($B492,Seqs!$A:$B,2,0),AO492,1),"")</f>
        <v>E</v>
      </c>
      <c r="AO492" s="3">
        <v>770</v>
      </c>
      <c r="AP492" s="3" t="str">
        <f>IFERROR(MID(VLOOKUP($B492,Seqs!$A:$B,2,0),AQ492,1),"")</f>
        <v>G</v>
      </c>
      <c r="AQ492" s="3">
        <v>794</v>
      </c>
      <c r="AR492" s="3" t="str">
        <f>IFERROR(MID(VLOOKUP($B492,Seqs!$A:$B,2,0),AS492,1),"")</f>
        <v>Y</v>
      </c>
      <c r="AS492" s="105">
        <v>797</v>
      </c>
      <c r="AT492" s="3" t="str">
        <f>IFERROR(MID(VLOOKUP($B492,Seqs!$A:$B,2,0),AU492,1),"")</f>
        <v>K</v>
      </c>
      <c r="AU492" s="3">
        <v>828</v>
      </c>
      <c r="AV492" s="3" t="str">
        <f>IFERROR(MID(VLOOKUP($B492,Seqs!$A:$B,2,0),AW492,1),"")</f>
        <v>P</v>
      </c>
      <c r="AW492" s="3">
        <v>829</v>
      </c>
      <c r="AX492" s="3" t="str">
        <f>IFERROR(MID(VLOOKUP($B492,Seqs!$A:$B,2,0),AY492,1),"")</f>
        <v>S</v>
      </c>
      <c r="AY492" s="3">
        <v>840</v>
      </c>
      <c r="AZ492" s="77" t="str">
        <f>VLOOKUP(B492,Classification!A:D,2,0)</f>
        <v>C</v>
      </c>
      <c r="BA492" s="94" t="str">
        <f>VLOOKUP(B492,Classification!A:D,4,0)</f>
        <v>Metabotropicglutamate</v>
      </c>
      <c r="BB492" s="27" t="b">
        <f t="shared" si="4219"/>
        <v>1</v>
      </c>
      <c r="BC492" s="23">
        <f t="shared" si="4108"/>
        <v>218</v>
      </c>
      <c r="BD492" s="56" t="s">
        <v>23</v>
      </c>
      <c r="BE492" s="3" t="s">
        <v>23</v>
      </c>
      <c r="BF492" s="118" t="s">
        <v>23</v>
      </c>
      <c r="BG492" s="49" t="s">
        <v>1368</v>
      </c>
      <c r="BH492" s="49" t="s">
        <v>1373</v>
      </c>
      <c r="BJ492" s="70" t="s">
        <v>1283</v>
      </c>
      <c r="BK492" s="57" t="s">
        <v>1283</v>
      </c>
      <c r="BL492" s="57" t="s">
        <v>1283</v>
      </c>
      <c r="BM492" s="57" t="s">
        <v>1283</v>
      </c>
      <c r="BN492" s="57" t="s">
        <v>1283</v>
      </c>
      <c r="BO492" s="57" t="s">
        <v>1283</v>
      </c>
      <c r="BP492" s="57" t="s">
        <v>1283</v>
      </c>
      <c r="BQ492" s="57" t="s">
        <v>1283</v>
      </c>
      <c r="BR492" s="57" t="s">
        <v>1283</v>
      </c>
      <c r="BS492" s="57" t="s">
        <v>1283</v>
      </c>
      <c r="BT492" s="57" t="s">
        <v>1283</v>
      </c>
      <c r="BU492" s="57" t="s">
        <v>1283</v>
      </c>
      <c r="BV492" s="70">
        <f t="shared" si="4109"/>
        <v>578</v>
      </c>
      <c r="BW492" s="71">
        <f t="shared" si="4110"/>
        <v>607</v>
      </c>
      <c r="BX492" s="72">
        <f t="shared" si="4111"/>
        <v>614</v>
      </c>
      <c r="BY492" s="71" t="str">
        <f t="shared" si="4112"/>
        <v>-</v>
      </c>
      <c r="BZ492" s="72">
        <f t="shared" si="4113"/>
        <v>640</v>
      </c>
      <c r="CA492" s="71" t="str">
        <f t="shared" si="4114"/>
        <v>-</v>
      </c>
      <c r="CB492" s="72">
        <f t="shared" si="4115"/>
        <v>689</v>
      </c>
      <c r="CC492" s="71">
        <f t="shared" si="4116"/>
        <v>733</v>
      </c>
      <c r="CD492" s="72">
        <f t="shared" si="4117"/>
        <v>736</v>
      </c>
      <c r="CE492" s="71">
        <f t="shared" si="4118"/>
        <v>770</v>
      </c>
      <c r="CF492" s="72">
        <f t="shared" si="4119"/>
        <v>797</v>
      </c>
      <c r="CG492" s="71">
        <f t="shared" si="4120"/>
        <v>829</v>
      </c>
      <c r="CH492" s="70">
        <f t="shared" si="4121"/>
        <v>604</v>
      </c>
      <c r="CI492" s="71">
        <f t="shared" si="4122"/>
        <v>613</v>
      </c>
      <c r="CJ492" s="72">
        <f t="shared" si="4123"/>
        <v>636</v>
      </c>
      <c r="CK492" s="72" t="str">
        <f t="shared" si="4124"/>
        <v>-</v>
      </c>
      <c r="CL492" s="72">
        <f t="shared" si="4125"/>
        <v>673</v>
      </c>
      <c r="CM492" s="72" t="str">
        <f t="shared" si="4126"/>
        <v>-</v>
      </c>
      <c r="CN492" s="72">
        <f t="shared" si="4127"/>
        <v>715</v>
      </c>
      <c r="CO492" s="72">
        <f t="shared" si="4128"/>
        <v>735</v>
      </c>
      <c r="CP492" s="72">
        <f t="shared" si="4129"/>
        <v>761</v>
      </c>
      <c r="CQ492" s="72">
        <f t="shared" si="4130"/>
        <v>794</v>
      </c>
      <c r="CR492" s="72">
        <f t="shared" si="4131"/>
        <v>828</v>
      </c>
      <c r="CS492" s="72">
        <f t="shared" si="4132"/>
        <v>840</v>
      </c>
      <c r="CT492" s="23">
        <f t="shared" si="4133"/>
        <v>1</v>
      </c>
    </row>
    <row r="493" spans="1:1030" x14ac:dyDescent="0.2">
      <c r="A493" s="3" t="str">
        <f t="shared" si="4218"/>
        <v>grm5_human_4OO9</v>
      </c>
      <c r="B493" s="3" t="s">
        <v>41</v>
      </c>
      <c r="C493" s="3" t="s">
        <v>57</v>
      </c>
      <c r="D493" s="3" t="str">
        <f>IFERROR(MID(VLOOKUP($B493,Seqs!$A:$B,2,0),E493,1),"")</f>
        <v>P</v>
      </c>
      <c r="E493" s="3">
        <v>578</v>
      </c>
      <c r="F493" s="3" t="str">
        <f>IFERROR(MID(VLOOKUP($B493,Seqs!$A:$B,2,0),G493,1),"")</f>
        <v>Y</v>
      </c>
      <c r="G493" s="3">
        <v>604</v>
      </c>
      <c r="H493" s="3" t="str">
        <f>IFERROR(MID(VLOOKUP($B493,Seqs!$A:$B,2,0),I493,1),"")</f>
        <v>T</v>
      </c>
      <c r="I493" s="23">
        <v>607</v>
      </c>
      <c r="J493" s="3" t="str">
        <f>IFERROR(MID(VLOOKUP($B493,Seqs!$A:$B,2,0),K493,1),"")</f>
        <v>S</v>
      </c>
      <c r="K493" s="23">
        <v>613</v>
      </c>
      <c r="L493" s="3" t="str">
        <f>IFERROR(MID(VLOOKUP($B493,Seqs!$A:$B,2,0),M493,1),"")</f>
        <v>S</v>
      </c>
      <c r="M493" s="3">
        <v>614</v>
      </c>
      <c r="N493" s="3" t="str">
        <f>IFERROR(MID(VLOOKUP($B493,Seqs!$A:$B,2,0),O493,1),"")</f>
        <v>I</v>
      </c>
      <c r="O493" s="3">
        <v>636</v>
      </c>
      <c r="P493" s="3" t="str">
        <f>IFERROR(MID(VLOOKUP($B493,Seqs!$A:$B,2,0),Q493,1),"")</f>
        <v/>
      </c>
      <c r="Q493" s="3" t="s">
        <v>23</v>
      </c>
      <c r="R493" s="3" t="str">
        <f>IFERROR(MID(VLOOKUP($B493,Seqs!$A:$B,2,0),S493,1),"")</f>
        <v/>
      </c>
      <c r="S493" s="3" t="s">
        <v>23</v>
      </c>
      <c r="T493" s="3" t="str">
        <f>IFERROR(MID(VLOOKUP($B493,Seqs!$A:$B,2,0),U493,1),"")</f>
        <v>Q</v>
      </c>
      <c r="U493" s="3">
        <v>641</v>
      </c>
      <c r="V493" s="3" t="str">
        <f>IFERROR(MID(VLOOKUP($B493,Seqs!$A:$B,2,0),W493,1),"")</f>
        <v>K</v>
      </c>
      <c r="W493" s="3">
        <v>678</v>
      </c>
      <c r="X493" s="3" t="str">
        <f>IFERROR(MID(VLOOKUP($B493,Seqs!$A:$B,2,0),Y493,1),"")</f>
        <v/>
      </c>
      <c r="Y493" s="3" t="s">
        <v>23</v>
      </c>
      <c r="Z493" s="3" t="str">
        <f>IFERROR(MID(VLOOKUP($B493,Seqs!$A:$B,2,0),AA493,1),"")</f>
        <v/>
      </c>
      <c r="AA493" s="3" t="s">
        <v>23</v>
      </c>
      <c r="AB493" s="3" t="str">
        <f>IFERROR(MID(VLOOKUP($B493,Seqs!$A:$B,2,0),AC493,1),"")</f>
        <v>S</v>
      </c>
      <c r="AC493" s="9">
        <v>689</v>
      </c>
      <c r="AD493" s="3" t="str">
        <f>IFERROR(MID(VLOOKUP($B493,Seqs!$A:$B,2,0),AE493,1),"")</f>
        <v>E</v>
      </c>
      <c r="AE493" s="3">
        <v>715</v>
      </c>
      <c r="AF493" s="3" t="str">
        <f>IFERROR(MID(VLOOKUP($B493,Seqs!$A:$B,2,0),AG493,1),"")</f>
        <v>C</v>
      </c>
      <c r="AG493" s="3">
        <v>733</v>
      </c>
      <c r="AH493" s="3" t="str">
        <f>IFERROR(MID(VLOOKUP($B493,Seqs!$A:$B,2,0),AI493,1),"")</f>
        <v>T</v>
      </c>
      <c r="AI493" s="3">
        <v>735</v>
      </c>
      <c r="AJ493" s="3" t="str">
        <f>IFERROR(MID(VLOOKUP($B493,Seqs!$A:$B,2,0),AK493,1),"")</f>
        <v>N</v>
      </c>
      <c r="AK493" s="3">
        <v>737</v>
      </c>
      <c r="AL493" s="3" t="str">
        <f>IFERROR(MID(VLOOKUP($B493,Seqs!$A:$B,2,0),AM493,1),"")</f>
        <v>T</v>
      </c>
      <c r="AM493" s="3">
        <v>761</v>
      </c>
      <c r="AN493" s="3" t="str">
        <f>IFERROR(MID(VLOOKUP($B493,Seqs!$A:$B,2,0),AO493,1),"")</f>
        <v>E</v>
      </c>
      <c r="AO493" s="3">
        <v>770</v>
      </c>
      <c r="AP493" s="3" t="str">
        <f>IFERROR(MID(VLOOKUP($B493,Seqs!$A:$B,2,0),AQ493,1),"")</f>
        <v>G</v>
      </c>
      <c r="AQ493" s="3">
        <v>794</v>
      </c>
      <c r="AR493" s="3" t="str">
        <f>IFERROR(MID(VLOOKUP($B493,Seqs!$A:$B,2,0),AS493,1),"")</f>
        <v>Y</v>
      </c>
      <c r="AS493" s="105">
        <v>797</v>
      </c>
      <c r="AT493" s="3" t="str">
        <f>IFERROR(MID(VLOOKUP($B493,Seqs!$A:$B,2,0),AU493,1),"")</f>
        <v>K</v>
      </c>
      <c r="AU493" s="3">
        <v>828</v>
      </c>
      <c r="AV493" s="3" t="str">
        <f>IFERROR(MID(VLOOKUP($B493,Seqs!$A:$B,2,0),AW493,1),"")</f>
        <v>P</v>
      </c>
      <c r="AW493" s="3">
        <v>829</v>
      </c>
      <c r="AX493" s="3" t="str">
        <f>IFERROR(MID(VLOOKUP($B493,Seqs!$A:$B,2,0),AY493,1),"")</f>
        <v>N</v>
      </c>
      <c r="AY493" s="3">
        <v>832</v>
      </c>
      <c r="AZ493" s="77" t="str">
        <f>VLOOKUP(B493,Classification!A:D,2,0)</f>
        <v>C</v>
      </c>
      <c r="BA493" s="94" t="str">
        <f>VLOOKUP(B493,Classification!A:D,4,0)</f>
        <v>Metabotropicglutamate</v>
      </c>
      <c r="BB493" s="27" t="b">
        <f t="shared" si="4219"/>
        <v>1</v>
      </c>
      <c r="BC493" s="23">
        <f t="shared" si="4108"/>
        <v>213</v>
      </c>
      <c r="BD493" s="106" t="s">
        <v>1372</v>
      </c>
      <c r="BE493" s="3" t="s">
        <v>1370</v>
      </c>
      <c r="BF493" s="118">
        <v>2.6</v>
      </c>
      <c r="BG493" s="49" t="s">
        <v>1373</v>
      </c>
      <c r="BH493" s="49" t="s">
        <v>1373</v>
      </c>
      <c r="BJ493" s="70" t="s">
        <v>1283</v>
      </c>
      <c r="BK493" s="57" t="s">
        <v>1283</v>
      </c>
      <c r="BL493" s="57" t="s">
        <v>1283</v>
      </c>
      <c r="BM493" s="57" t="s">
        <v>1283</v>
      </c>
      <c r="BN493" s="57" t="s">
        <v>1283</v>
      </c>
      <c r="BO493" s="57" t="s">
        <v>1283</v>
      </c>
      <c r="BP493" s="57" t="s">
        <v>1283</v>
      </c>
      <c r="BQ493" s="57" t="s">
        <v>1283</v>
      </c>
      <c r="BR493" s="57" t="s">
        <v>1283</v>
      </c>
      <c r="BS493" s="57" t="s">
        <v>1283</v>
      </c>
      <c r="BT493" s="57" t="s">
        <v>1283</v>
      </c>
      <c r="BU493" s="57" t="s">
        <v>1283</v>
      </c>
      <c r="BV493" s="70">
        <f t="shared" si="4109"/>
        <v>578</v>
      </c>
      <c r="BW493" s="71">
        <f t="shared" si="4110"/>
        <v>607</v>
      </c>
      <c r="BX493" s="72">
        <f t="shared" si="4111"/>
        <v>614</v>
      </c>
      <c r="BY493" s="71" t="str">
        <f t="shared" si="4112"/>
        <v>-</v>
      </c>
      <c r="BZ493" s="72">
        <f t="shared" si="4113"/>
        <v>641</v>
      </c>
      <c r="CA493" s="71" t="str">
        <f t="shared" si="4114"/>
        <v>-</v>
      </c>
      <c r="CB493" s="72">
        <f t="shared" si="4115"/>
        <v>689</v>
      </c>
      <c r="CC493" s="71">
        <f t="shared" si="4116"/>
        <v>733</v>
      </c>
      <c r="CD493" s="72">
        <f t="shared" si="4117"/>
        <v>737</v>
      </c>
      <c r="CE493" s="71">
        <f t="shared" si="4118"/>
        <v>770</v>
      </c>
      <c r="CF493" s="72">
        <f t="shared" si="4119"/>
        <v>797</v>
      </c>
      <c r="CG493" s="71">
        <f t="shared" si="4120"/>
        <v>829</v>
      </c>
      <c r="CH493" s="70">
        <f t="shared" si="4121"/>
        <v>604</v>
      </c>
      <c r="CI493" s="71">
        <f t="shared" si="4122"/>
        <v>613</v>
      </c>
      <c r="CJ493" s="72">
        <f t="shared" si="4123"/>
        <v>636</v>
      </c>
      <c r="CK493" s="72" t="str">
        <f t="shared" si="4124"/>
        <v>-</v>
      </c>
      <c r="CL493" s="72">
        <f t="shared" si="4125"/>
        <v>678</v>
      </c>
      <c r="CM493" s="72" t="str">
        <f t="shared" si="4126"/>
        <v>-</v>
      </c>
      <c r="CN493" s="72">
        <f t="shared" si="4127"/>
        <v>715</v>
      </c>
      <c r="CO493" s="72">
        <f t="shared" si="4128"/>
        <v>735</v>
      </c>
      <c r="CP493" s="72">
        <f t="shared" si="4129"/>
        <v>761</v>
      </c>
      <c r="CQ493" s="72">
        <f t="shared" si="4130"/>
        <v>794</v>
      </c>
      <c r="CR493" s="72">
        <f t="shared" si="4131"/>
        <v>828</v>
      </c>
      <c r="CS493" s="72">
        <f t="shared" si="4132"/>
        <v>832</v>
      </c>
      <c r="CT493" s="23">
        <f t="shared" si="4133"/>
        <v>1</v>
      </c>
    </row>
    <row r="494" spans="1:1030" x14ac:dyDescent="0.2">
      <c r="A494" s="3" t="str">
        <f t="shared" si="4218"/>
        <v>grm5_human_5CGC</v>
      </c>
      <c r="B494" s="3" t="s">
        <v>41</v>
      </c>
      <c r="C494" s="3" t="s">
        <v>58</v>
      </c>
      <c r="D494" s="3" t="str">
        <f>IFERROR(MID(VLOOKUP($B494,Seqs!$A:$B,2,0),E494,1),"")</f>
        <v>P</v>
      </c>
      <c r="E494" s="3">
        <v>578</v>
      </c>
      <c r="F494" s="3" t="str">
        <f>IFERROR(MID(VLOOKUP($B494,Seqs!$A:$B,2,0),G494,1),"")</f>
        <v>Y</v>
      </c>
      <c r="G494" s="3">
        <v>604</v>
      </c>
      <c r="H494" s="3" t="str">
        <f>IFERROR(MID(VLOOKUP($B494,Seqs!$A:$B,2,0),I494,1),"")</f>
        <v>T</v>
      </c>
      <c r="I494" s="23">
        <v>607</v>
      </c>
      <c r="J494" s="3" t="str">
        <f>IFERROR(MID(VLOOKUP($B494,Seqs!$A:$B,2,0),K494,1),"")</f>
        <v>S</v>
      </c>
      <c r="K494" s="23">
        <v>613</v>
      </c>
      <c r="L494" s="3" t="str">
        <f>IFERROR(MID(VLOOKUP($B494,Seqs!$A:$B,2,0),M494,1),"")</f>
        <v>S</v>
      </c>
      <c r="M494" s="3">
        <v>614</v>
      </c>
      <c r="N494" s="3" t="str">
        <f>IFERROR(MID(VLOOKUP($B494,Seqs!$A:$B,2,0),O494,1),"")</f>
        <v>I</v>
      </c>
      <c r="O494" s="3">
        <v>636</v>
      </c>
      <c r="P494" s="3" t="str">
        <f>IFERROR(MID(VLOOKUP($B494,Seqs!$A:$B,2,0),Q494,1),"")</f>
        <v/>
      </c>
      <c r="Q494" s="3" t="s">
        <v>23</v>
      </c>
      <c r="R494" s="3" t="str">
        <f>IFERROR(MID(VLOOKUP($B494,Seqs!$A:$B,2,0),S494,1),"")</f>
        <v/>
      </c>
      <c r="S494" s="3" t="s">
        <v>23</v>
      </c>
      <c r="T494" s="3" t="str">
        <f>IFERROR(MID(VLOOKUP($B494,Seqs!$A:$B,2,0),U494,1),"")</f>
        <v>K</v>
      </c>
      <c r="U494" s="105">
        <v>640</v>
      </c>
      <c r="V494" s="3" t="str">
        <f>IFERROR(MID(VLOOKUP($B494,Seqs!$A:$B,2,0),W494,1),"")</f>
        <v>K</v>
      </c>
      <c r="W494" s="3">
        <v>678</v>
      </c>
      <c r="X494" s="3" t="str">
        <f>IFERROR(MID(VLOOKUP($B494,Seqs!$A:$B,2,0),Y494,1),"")</f>
        <v/>
      </c>
      <c r="Y494" s="3" t="s">
        <v>23</v>
      </c>
      <c r="Z494" s="3" t="str">
        <f>IFERROR(MID(VLOOKUP($B494,Seqs!$A:$B,2,0),AA494,1),"")</f>
        <v/>
      </c>
      <c r="AA494" s="3" t="s">
        <v>23</v>
      </c>
      <c r="AB494" s="3" t="str">
        <f>IFERROR(MID(VLOOKUP($B494,Seqs!$A:$B,2,0),AC494,1),"")</f>
        <v>S</v>
      </c>
      <c r="AC494" s="9">
        <v>689</v>
      </c>
      <c r="AD494" s="3" t="str">
        <f>IFERROR(MID(VLOOKUP($B494,Seqs!$A:$B,2,0),AE494,1),"")</f>
        <v>E</v>
      </c>
      <c r="AE494" s="3">
        <v>715</v>
      </c>
      <c r="AF494" s="3" t="str">
        <f>IFERROR(MID(VLOOKUP($B494,Seqs!$A:$B,2,0),AG494,1),"")</f>
        <v>C</v>
      </c>
      <c r="AG494" s="3">
        <v>733</v>
      </c>
      <c r="AH494" s="3" t="str">
        <f>IFERROR(MID(VLOOKUP($B494,Seqs!$A:$B,2,0),AI494,1),"")</f>
        <v>T</v>
      </c>
      <c r="AI494" s="3">
        <v>735</v>
      </c>
      <c r="AJ494" s="3" t="str">
        <f>IFERROR(MID(VLOOKUP($B494,Seqs!$A:$B,2,0),AK494,1),"")</f>
        <v>N</v>
      </c>
      <c r="AK494" s="3">
        <v>737</v>
      </c>
      <c r="AL494" s="3" t="str">
        <f>IFERROR(MID(VLOOKUP($B494,Seqs!$A:$B,2,0),AM494,1),"")</f>
        <v>T</v>
      </c>
      <c r="AM494" s="3">
        <v>761</v>
      </c>
      <c r="AN494" s="3" t="str">
        <f>IFERROR(MID(VLOOKUP($B494,Seqs!$A:$B,2,0),AO494,1),"")</f>
        <v>E</v>
      </c>
      <c r="AO494" s="3">
        <v>770</v>
      </c>
      <c r="AP494" s="3" t="str">
        <f>IFERROR(MID(VLOOKUP($B494,Seqs!$A:$B,2,0),AQ494,1),"")</f>
        <v>G</v>
      </c>
      <c r="AQ494" s="3">
        <v>794</v>
      </c>
      <c r="AR494" s="3" t="str">
        <f>IFERROR(MID(VLOOKUP($B494,Seqs!$A:$B,2,0),AS494,1),"")</f>
        <v>Y</v>
      </c>
      <c r="AS494" s="105">
        <v>797</v>
      </c>
      <c r="AT494" s="3" t="str">
        <f>IFERROR(MID(VLOOKUP($B494,Seqs!$A:$B,2,0),AU494,1),"")</f>
        <v>K</v>
      </c>
      <c r="AU494" s="3">
        <v>828</v>
      </c>
      <c r="AV494" s="3" t="str">
        <f>IFERROR(MID(VLOOKUP($B494,Seqs!$A:$B,2,0),AW494,1),"")</f>
        <v>P</v>
      </c>
      <c r="AW494" s="3">
        <v>829</v>
      </c>
      <c r="AX494" s="3" t="str">
        <f>IFERROR(MID(VLOOKUP($B494,Seqs!$A:$B,2,0),AY494,1),"")</f>
        <v>N</v>
      </c>
      <c r="AY494" s="3">
        <v>832</v>
      </c>
      <c r="AZ494" s="77" t="str">
        <f>VLOOKUP(B494,Classification!A:D,2,0)</f>
        <v>C</v>
      </c>
      <c r="BA494" s="94" t="str">
        <f>VLOOKUP(B494,Classification!A:D,4,0)</f>
        <v>Metabotropicglutamate</v>
      </c>
      <c r="BB494" s="27" t="b">
        <f t="shared" si="4219"/>
        <v>1</v>
      </c>
      <c r="BC494" s="23">
        <f t="shared" si="4108"/>
        <v>214</v>
      </c>
      <c r="BD494" s="4" t="s">
        <v>23</v>
      </c>
      <c r="BE494" s="3" t="s">
        <v>1370</v>
      </c>
      <c r="BF494" s="118">
        <v>3.1</v>
      </c>
      <c r="BG494" s="49" t="s">
        <v>1373</v>
      </c>
      <c r="BH494" s="49" t="s">
        <v>1373</v>
      </c>
      <c r="BJ494" s="70" t="s">
        <v>1283</v>
      </c>
      <c r="BK494" s="57" t="s">
        <v>1283</v>
      </c>
      <c r="BL494" s="57" t="s">
        <v>1283</v>
      </c>
      <c r="BM494" s="57" t="s">
        <v>1283</v>
      </c>
      <c r="BN494" s="57" t="s">
        <v>1283</v>
      </c>
      <c r="BO494" s="57" t="s">
        <v>1283</v>
      </c>
      <c r="BP494" s="57" t="s">
        <v>1283</v>
      </c>
      <c r="BQ494" s="57" t="s">
        <v>1283</v>
      </c>
      <c r="BR494" s="57" t="s">
        <v>1283</v>
      </c>
      <c r="BS494" s="57" t="s">
        <v>1283</v>
      </c>
      <c r="BT494" s="57" t="s">
        <v>1283</v>
      </c>
      <c r="BU494" s="57" t="s">
        <v>1283</v>
      </c>
      <c r="BV494" s="70">
        <f t="shared" si="4109"/>
        <v>578</v>
      </c>
      <c r="BW494" s="71">
        <f t="shared" si="4110"/>
        <v>607</v>
      </c>
      <c r="BX494" s="72">
        <f t="shared" si="4111"/>
        <v>614</v>
      </c>
      <c r="BY494" s="71" t="str">
        <f t="shared" si="4112"/>
        <v>-</v>
      </c>
      <c r="BZ494" s="72">
        <f t="shared" si="4113"/>
        <v>640</v>
      </c>
      <c r="CA494" s="71" t="str">
        <f t="shared" si="4114"/>
        <v>-</v>
      </c>
      <c r="CB494" s="72">
        <f t="shared" si="4115"/>
        <v>689</v>
      </c>
      <c r="CC494" s="71">
        <f t="shared" si="4116"/>
        <v>733</v>
      </c>
      <c r="CD494" s="72">
        <f t="shared" si="4117"/>
        <v>737</v>
      </c>
      <c r="CE494" s="71">
        <f t="shared" si="4118"/>
        <v>770</v>
      </c>
      <c r="CF494" s="72">
        <f t="shared" si="4119"/>
        <v>797</v>
      </c>
      <c r="CG494" s="71">
        <f t="shared" si="4120"/>
        <v>829</v>
      </c>
      <c r="CH494" s="70">
        <f t="shared" si="4121"/>
        <v>604</v>
      </c>
      <c r="CI494" s="71">
        <f t="shared" si="4122"/>
        <v>613</v>
      </c>
      <c r="CJ494" s="72">
        <f t="shared" si="4123"/>
        <v>636</v>
      </c>
      <c r="CK494" s="72" t="str">
        <f t="shared" si="4124"/>
        <v>-</v>
      </c>
      <c r="CL494" s="72">
        <f t="shared" si="4125"/>
        <v>678</v>
      </c>
      <c r="CM494" s="72" t="str">
        <f t="shared" si="4126"/>
        <v>-</v>
      </c>
      <c r="CN494" s="72">
        <f t="shared" si="4127"/>
        <v>715</v>
      </c>
      <c r="CO494" s="72">
        <f t="shared" si="4128"/>
        <v>735</v>
      </c>
      <c r="CP494" s="72">
        <f t="shared" si="4129"/>
        <v>761</v>
      </c>
      <c r="CQ494" s="72">
        <f t="shared" si="4130"/>
        <v>794</v>
      </c>
      <c r="CR494" s="72">
        <f t="shared" si="4131"/>
        <v>828</v>
      </c>
      <c r="CS494" s="72">
        <f t="shared" si="4132"/>
        <v>832</v>
      </c>
      <c r="CT494" s="23">
        <f t="shared" si="4133"/>
        <v>1</v>
      </c>
    </row>
    <row r="495" spans="1:1030" x14ac:dyDescent="0.2">
      <c r="A495" s="3" t="str">
        <f t="shared" si="4218"/>
        <v>grm5_human_5CGD</v>
      </c>
      <c r="B495" s="3" t="s">
        <v>41</v>
      </c>
      <c r="C495" s="3" t="s">
        <v>59</v>
      </c>
      <c r="D495" s="3" t="str">
        <f>IFERROR(MID(VLOOKUP($B495,Seqs!$A:$B,2,0),E495,1),"")</f>
        <v>P</v>
      </c>
      <c r="E495" s="3">
        <v>578</v>
      </c>
      <c r="F495" s="3" t="str">
        <f>IFERROR(MID(VLOOKUP($B495,Seqs!$A:$B,2,0),G495,1),"")</f>
        <v>Y</v>
      </c>
      <c r="G495" s="3">
        <v>604</v>
      </c>
      <c r="H495" s="3" t="str">
        <f>IFERROR(MID(VLOOKUP($B495,Seqs!$A:$B,2,0),I495,1),"")</f>
        <v>T</v>
      </c>
      <c r="I495" s="23">
        <v>607</v>
      </c>
      <c r="J495" s="3" t="str">
        <f>IFERROR(MID(VLOOKUP($B495,Seqs!$A:$B,2,0),K495,1),"")</f>
        <v>S</v>
      </c>
      <c r="K495" s="23">
        <v>613</v>
      </c>
      <c r="L495" s="3" t="str">
        <f>IFERROR(MID(VLOOKUP($B495,Seqs!$A:$B,2,0),M495,1),"")</f>
        <v>S</v>
      </c>
      <c r="M495" s="3">
        <v>614</v>
      </c>
      <c r="N495" s="3" t="str">
        <f>IFERROR(MID(VLOOKUP($B495,Seqs!$A:$B,2,0),O495,1),"")</f>
        <v>I</v>
      </c>
      <c r="O495" s="3">
        <v>636</v>
      </c>
      <c r="P495" s="3" t="str">
        <f>IFERROR(MID(VLOOKUP($B495,Seqs!$A:$B,2,0),Q495,1),"")</f>
        <v/>
      </c>
      <c r="Q495" s="3" t="s">
        <v>23</v>
      </c>
      <c r="R495" s="3" t="str">
        <f>IFERROR(MID(VLOOKUP($B495,Seqs!$A:$B,2,0),S495,1),"")</f>
        <v/>
      </c>
      <c r="S495" s="3" t="s">
        <v>23</v>
      </c>
      <c r="T495" s="3" t="str">
        <f>IFERROR(MID(VLOOKUP($B495,Seqs!$A:$B,2,0),U495,1),"")</f>
        <v>Q</v>
      </c>
      <c r="U495" s="3">
        <v>641</v>
      </c>
      <c r="V495" s="3" t="str">
        <f>IFERROR(MID(VLOOKUP($B495,Seqs!$A:$B,2,0),W495,1),"")</f>
        <v>K</v>
      </c>
      <c r="W495" s="3">
        <v>678</v>
      </c>
      <c r="X495" s="3" t="str">
        <f>IFERROR(MID(VLOOKUP($B495,Seqs!$A:$B,2,0),Y495,1),"")</f>
        <v/>
      </c>
      <c r="Y495" s="3" t="s">
        <v>23</v>
      </c>
      <c r="Z495" s="3" t="str">
        <f>IFERROR(MID(VLOOKUP($B495,Seqs!$A:$B,2,0),AA495,1),"")</f>
        <v/>
      </c>
      <c r="AA495" s="3" t="s">
        <v>23</v>
      </c>
      <c r="AB495" s="3" t="str">
        <f>IFERROR(MID(VLOOKUP($B495,Seqs!$A:$B,2,0),AC495,1),"")</f>
        <v>S</v>
      </c>
      <c r="AC495" s="9">
        <v>689</v>
      </c>
      <c r="AD495" s="3" t="str">
        <f>IFERROR(MID(VLOOKUP($B495,Seqs!$A:$B,2,0),AE495,1),"")</f>
        <v>E</v>
      </c>
      <c r="AE495" s="3">
        <v>715</v>
      </c>
      <c r="AF495" s="3" t="str">
        <f>IFERROR(MID(VLOOKUP($B495,Seqs!$A:$B,2,0),AG495,1),"")</f>
        <v>C</v>
      </c>
      <c r="AG495" s="3">
        <v>733</v>
      </c>
      <c r="AH495" s="3" t="str">
        <f>IFERROR(MID(VLOOKUP($B495,Seqs!$A:$B,2,0),AI495,1),"")</f>
        <v>T</v>
      </c>
      <c r="AI495" s="3">
        <v>735</v>
      </c>
      <c r="AJ495" s="3" t="str">
        <f>IFERROR(MID(VLOOKUP($B495,Seqs!$A:$B,2,0),AK495,1),"")</f>
        <v>N</v>
      </c>
      <c r="AK495" s="3">
        <v>737</v>
      </c>
      <c r="AL495" s="3" t="str">
        <f>IFERROR(MID(VLOOKUP($B495,Seqs!$A:$B,2,0),AM495,1),"")</f>
        <v>T</v>
      </c>
      <c r="AM495" s="3">
        <v>761</v>
      </c>
      <c r="AN495" s="3" t="str">
        <f>IFERROR(MID(VLOOKUP($B495,Seqs!$A:$B,2,0),AO495,1),"")</f>
        <v>E</v>
      </c>
      <c r="AO495" s="3">
        <v>770</v>
      </c>
      <c r="AP495" s="3" t="str">
        <f>IFERROR(MID(VLOOKUP($B495,Seqs!$A:$B,2,0),AQ495,1),"")</f>
        <v>G</v>
      </c>
      <c r="AQ495" s="3">
        <v>794</v>
      </c>
      <c r="AR495" s="3" t="str">
        <f>IFERROR(MID(VLOOKUP($B495,Seqs!$A:$B,2,0),AS495,1),"")</f>
        <v>Y</v>
      </c>
      <c r="AS495" s="105">
        <v>797</v>
      </c>
      <c r="AT495" s="3" t="str">
        <f>IFERROR(MID(VLOOKUP($B495,Seqs!$A:$B,2,0),AU495,1),"")</f>
        <v>K</v>
      </c>
      <c r="AU495" s="3">
        <v>828</v>
      </c>
      <c r="AV495" s="3" t="str">
        <f>IFERROR(MID(VLOOKUP($B495,Seqs!$A:$B,2,0),AW495,1),"")</f>
        <v>P</v>
      </c>
      <c r="AW495" s="3">
        <v>829</v>
      </c>
      <c r="AX495" s="3" t="str">
        <f>IFERROR(MID(VLOOKUP($B495,Seqs!$A:$B,2,0),AY495,1),"")</f>
        <v>R</v>
      </c>
      <c r="AY495" s="3">
        <v>831</v>
      </c>
      <c r="AZ495" s="77" t="str">
        <f>VLOOKUP(B495,Classification!A:D,2,0)</f>
        <v>C</v>
      </c>
      <c r="BA495" s="94" t="str">
        <f>VLOOKUP(B495,Classification!A:D,4,0)</f>
        <v>Metabotropicglutamate</v>
      </c>
      <c r="BB495" s="27" t="b">
        <f t="shared" si="4219"/>
        <v>1</v>
      </c>
      <c r="BC495" s="23">
        <f t="shared" si="4108"/>
        <v>212</v>
      </c>
      <c r="BD495" s="4" t="s">
        <v>23</v>
      </c>
      <c r="BE495" s="3" t="s">
        <v>1370</v>
      </c>
      <c r="BF495" s="118">
        <v>2.6</v>
      </c>
      <c r="BG495" s="49" t="s">
        <v>1373</v>
      </c>
      <c r="BH495" s="49" t="s">
        <v>1373</v>
      </c>
      <c r="BJ495" s="70" t="s">
        <v>1283</v>
      </c>
      <c r="BK495" s="57" t="s">
        <v>1283</v>
      </c>
      <c r="BL495" s="57" t="s">
        <v>1283</v>
      </c>
      <c r="BM495" s="57" t="s">
        <v>1283</v>
      </c>
      <c r="BN495" s="57" t="s">
        <v>1283</v>
      </c>
      <c r="BO495" s="57" t="s">
        <v>1283</v>
      </c>
      <c r="BP495" s="57" t="s">
        <v>1283</v>
      </c>
      <c r="BQ495" s="57" t="s">
        <v>1283</v>
      </c>
      <c r="BR495" s="57" t="s">
        <v>1283</v>
      </c>
      <c r="BS495" s="57" t="s">
        <v>1283</v>
      </c>
      <c r="BT495" s="57" t="s">
        <v>1283</v>
      </c>
      <c r="BU495" s="57" t="s">
        <v>1283</v>
      </c>
      <c r="BV495" s="70">
        <f t="shared" si="4109"/>
        <v>578</v>
      </c>
      <c r="BW495" s="71">
        <f t="shared" si="4110"/>
        <v>607</v>
      </c>
      <c r="BX495" s="72">
        <f t="shared" si="4111"/>
        <v>614</v>
      </c>
      <c r="BY495" s="71" t="str">
        <f t="shared" si="4112"/>
        <v>-</v>
      </c>
      <c r="BZ495" s="72">
        <f t="shared" si="4113"/>
        <v>641</v>
      </c>
      <c r="CA495" s="71" t="str">
        <f t="shared" si="4114"/>
        <v>-</v>
      </c>
      <c r="CB495" s="72">
        <f t="shared" si="4115"/>
        <v>689</v>
      </c>
      <c r="CC495" s="71">
        <f t="shared" si="4116"/>
        <v>733</v>
      </c>
      <c r="CD495" s="72">
        <f t="shared" si="4117"/>
        <v>737</v>
      </c>
      <c r="CE495" s="71">
        <f t="shared" si="4118"/>
        <v>770</v>
      </c>
      <c r="CF495" s="72">
        <f t="shared" si="4119"/>
        <v>797</v>
      </c>
      <c r="CG495" s="71">
        <f t="shared" si="4120"/>
        <v>829</v>
      </c>
      <c r="CH495" s="70">
        <f t="shared" si="4121"/>
        <v>604</v>
      </c>
      <c r="CI495" s="71">
        <f t="shared" si="4122"/>
        <v>613</v>
      </c>
      <c r="CJ495" s="72">
        <f t="shared" si="4123"/>
        <v>636</v>
      </c>
      <c r="CK495" s="72" t="str">
        <f t="shared" si="4124"/>
        <v>-</v>
      </c>
      <c r="CL495" s="72">
        <f t="shared" si="4125"/>
        <v>678</v>
      </c>
      <c r="CM495" s="72" t="str">
        <f t="shared" si="4126"/>
        <v>-</v>
      </c>
      <c r="CN495" s="72">
        <f t="shared" si="4127"/>
        <v>715</v>
      </c>
      <c r="CO495" s="72">
        <f t="shared" si="4128"/>
        <v>735</v>
      </c>
      <c r="CP495" s="72">
        <f t="shared" si="4129"/>
        <v>761</v>
      </c>
      <c r="CQ495" s="72">
        <f t="shared" si="4130"/>
        <v>794</v>
      </c>
      <c r="CR495" s="72">
        <f t="shared" si="4131"/>
        <v>828</v>
      </c>
      <c r="CS495" s="72">
        <f t="shared" si="4132"/>
        <v>831</v>
      </c>
      <c r="CT495" s="23">
        <f t="shared" si="4133"/>
        <v>1</v>
      </c>
      <c r="AMP495" s="3"/>
    </row>
    <row r="496" spans="1:1030" x14ac:dyDescent="0.2">
      <c r="A496" s="3" t="str">
        <f>CONCATENATE(B496,"_",C496)</f>
        <v>grm5_human_6FFH</v>
      </c>
      <c r="B496" s="3" t="s">
        <v>41</v>
      </c>
      <c r="C496" s="3" t="s">
        <v>1470</v>
      </c>
      <c r="D496" s="3" t="str">
        <f>IFERROR(MID(VLOOKUP($B496,Seqs!$A:$B,2,0),E496,1),"")</f>
        <v>P</v>
      </c>
      <c r="E496" s="3">
        <v>578</v>
      </c>
      <c r="F496" s="3" t="str">
        <f>IFERROR(MID(VLOOKUP($B496,Seqs!$A:$B,2,0),G496,1),"")</f>
        <v>Y</v>
      </c>
      <c r="G496" s="3">
        <v>604</v>
      </c>
      <c r="H496" s="3" t="str">
        <f>IFERROR(MID(VLOOKUP($B496,Seqs!$A:$B,2,0),I496,1),"")</f>
        <v>T</v>
      </c>
      <c r="I496" s="23">
        <v>607</v>
      </c>
      <c r="J496" s="3" t="str">
        <f>IFERROR(MID(VLOOKUP($B496,Seqs!$A:$B,2,0),K496,1),"")</f>
        <v>S</v>
      </c>
      <c r="K496" s="23">
        <v>613</v>
      </c>
      <c r="L496" s="3" t="str">
        <f>IFERROR(MID(VLOOKUP($B496,Seqs!$A:$B,2,0),M496,1),"")</f>
        <v>S</v>
      </c>
      <c r="M496" s="3">
        <v>614</v>
      </c>
      <c r="N496" s="3" t="str">
        <f>IFERROR(MID(VLOOKUP($B496,Seqs!$A:$B,2,0),O496,1),"")</f>
        <v>I</v>
      </c>
      <c r="O496" s="3">
        <v>636</v>
      </c>
      <c r="P496" s="3" t="str">
        <f>IFERROR(MID(VLOOKUP($B496,Seqs!$A:$B,2,0),Q496,1),"")</f>
        <v/>
      </c>
      <c r="Q496" s="3" t="s">
        <v>23</v>
      </c>
      <c r="R496" s="3" t="str">
        <f>IFERROR(MID(VLOOKUP($B496,Seqs!$A:$B,2,0),S496,1),"")</f>
        <v/>
      </c>
      <c r="S496" s="3" t="s">
        <v>23</v>
      </c>
      <c r="T496" s="3" t="str">
        <f>IFERROR(MID(VLOOKUP($B496,Seqs!$A:$B,2,0),U496,1),"")</f>
        <v>K</v>
      </c>
      <c r="U496" s="3">
        <v>640</v>
      </c>
      <c r="V496" s="3" t="str">
        <f>IFERROR(MID(VLOOKUP($B496,Seqs!$A:$B,2,0),W496,1),"")</f>
        <v>K</v>
      </c>
      <c r="W496" s="3">
        <v>678</v>
      </c>
      <c r="X496" s="3" t="str">
        <f>IFERROR(MID(VLOOKUP($B496,Seqs!$A:$B,2,0),Y496,1),"")</f>
        <v/>
      </c>
      <c r="Y496" s="3" t="s">
        <v>23</v>
      </c>
      <c r="Z496" s="3" t="str">
        <f>IFERROR(MID(VLOOKUP($B496,Seqs!$A:$B,2,0),AA496,1),"")</f>
        <v/>
      </c>
      <c r="AA496" s="3" t="s">
        <v>23</v>
      </c>
      <c r="AB496" s="3" t="str">
        <f>IFERROR(MID(VLOOKUP($B496,Seqs!$A:$B,2,0),AC496,1),"")</f>
        <v/>
      </c>
      <c r="AC496" s="3">
        <v>1689</v>
      </c>
      <c r="AD496" s="3" t="str">
        <f>IFERROR(MID(VLOOKUP($B496,Seqs!$A:$B,2,0),AE496,1),"")</f>
        <v/>
      </c>
      <c r="AE496" s="3">
        <v>1715</v>
      </c>
      <c r="AF496" s="3" t="str">
        <f>IFERROR(MID(VLOOKUP($B496,Seqs!$A:$B,2,0),AG496,1),"")</f>
        <v/>
      </c>
      <c r="AG496" s="3">
        <v>1733</v>
      </c>
      <c r="AH496" s="3" t="str">
        <f>IFERROR(MID(VLOOKUP($B496,Seqs!$A:$B,2,0),AI496,1),"")</f>
        <v/>
      </c>
      <c r="AI496" s="3">
        <v>1735</v>
      </c>
      <c r="AJ496" s="3" t="str">
        <f>IFERROR(MID(VLOOKUP($B496,Seqs!$A:$B,2,0),AK496,1),"")</f>
        <v/>
      </c>
      <c r="AK496" s="3">
        <v>1736</v>
      </c>
      <c r="AL496" s="3" t="str">
        <f>IFERROR(MID(VLOOKUP($B496,Seqs!$A:$B,2,0),AM496,1),"")</f>
        <v/>
      </c>
      <c r="AM496" s="3">
        <v>1761</v>
      </c>
      <c r="AN496" s="3" t="str">
        <f>IFERROR(MID(VLOOKUP($B496,Seqs!$A:$B,2,0),AO496,1),"")</f>
        <v/>
      </c>
      <c r="AO496" s="3">
        <v>1770</v>
      </c>
      <c r="AP496" s="3" t="str">
        <f>IFERROR(MID(VLOOKUP($B496,Seqs!$A:$B,2,0),AQ496,1),"")</f>
        <v/>
      </c>
      <c r="AQ496" s="3">
        <v>1794</v>
      </c>
      <c r="AR496" s="3" t="str">
        <f>IFERROR(MID(VLOOKUP($B496,Seqs!$A:$B,2,0),AS496,1),"")</f>
        <v/>
      </c>
      <c r="AS496" s="3">
        <v>1797</v>
      </c>
      <c r="AT496" s="3" t="str">
        <f>IFERROR(MID(VLOOKUP($B496,Seqs!$A:$B,2,0),AU496,1),"")</f>
        <v/>
      </c>
      <c r="AU496" s="3">
        <v>1828</v>
      </c>
      <c r="AV496" s="3" t="str">
        <f>IFERROR(MID(VLOOKUP($B496,Seqs!$A:$B,2,0),AW496,1),"")</f>
        <v/>
      </c>
      <c r="AW496" s="3">
        <v>1829</v>
      </c>
      <c r="AX496" s="3" t="str">
        <f>IFERROR(MID(VLOOKUP($B496,Seqs!$A:$B,2,0),AY496,1),"")</f>
        <v/>
      </c>
      <c r="AY496" s="3">
        <v>1832</v>
      </c>
      <c r="AZ496" s="77" t="str">
        <f>VLOOKUP(B496,Classification!A:D,2,0)</f>
        <v>C</v>
      </c>
      <c r="BA496" s="94" t="str">
        <f>VLOOKUP(B496,Classification!A:D,4,0)</f>
        <v>Metabotropicglutamate</v>
      </c>
      <c r="BB496" s="27" t="b">
        <f>AND(E496&lt;G496,OR(G496&lt;I496,I496="-"),OR(I496&lt;K496,I496="-"),OR(K496&lt;M496,K496="-"),M496&lt;O496,OR(O496&lt;Q496,Q496="-"),OR(Q496&lt;S496,Q496="-"),OR(S496&lt;U496,S496="-"),U496&lt;W496,OR(W496&lt;Y496,Y496="-"),OR(Y496&lt;AA496,Y496="-"),OR(AA496&lt;AC496,AA496="-"),AC496&lt;AE496,OR(AE496&lt;AG496,AG496="-"),OR(AG496&lt;AI496,AG496="-"),OR(AI496&lt;AK496,AI496="-"),AK496&lt;AM496,AM496&lt;AO496,AO496&lt;AQ496,AQ496&lt;AS496,AS496&lt;AU496,OR(AU496&lt;AW496,AW496="-"),OR(AW496&lt;AY496,AW496="-"))</f>
        <v>1</v>
      </c>
      <c r="BC496" s="23">
        <f>_xlfn.AGGREGATE(9,6,CH496:CS496)-_xlfn.AGGREGATE(9,6,BV496:CG496)+12</f>
        <v>215</v>
      </c>
      <c r="BD496" s="4" t="s">
        <v>23</v>
      </c>
      <c r="BE496" s="3" t="s">
        <v>1370</v>
      </c>
      <c r="BF496" s="118">
        <v>2.65</v>
      </c>
      <c r="BG496" s="49" t="s">
        <v>1</v>
      </c>
      <c r="BH496" s="49" t="s">
        <v>1</v>
      </c>
      <c r="BJ496" s="70" t="s">
        <v>1283</v>
      </c>
      <c r="BK496" s="57" t="s">
        <v>1283</v>
      </c>
      <c r="BL496" s="57" t="s">
        <v>1283</v>
      </c>
      <c r="BM496" s="57" t="s">
        <v>1283</v>
      </c>
      <c r="BN496" s="57" t="s">
        <v>1283</v>
      </c>
      <c r="BO496" s="57" t="s">
        <v>1283</v>
      </c>
      <c r="BP496" s="57" t="s">
        <v>1283</v>
      </c>
      <c r="BQ496" s="57" t="s">
        <v>1283</v>
      </c>
      <c r="BR496" s="57" t="s">
        <v>1283</v>
      </c>
      <c r="BS496" s="57" t="s">
        <v>1283</v>
      </c>
      <c r="BT496" s="57" t="s">
        <v>1283</v>
      </c>
      <c r="BU496" s="57" t="s">
        <v>1283</v>
      </c>
      <c r="BV496" s="70">
        <f>E496</f>
        <v>578</v>
      </c>
      <c r="BW496" s="71">
        <f>I496</f>
        <v>607</v>
      </c>
      <c r="BX496" s="72">
        <f>M496</f>
        <v>614</v>
      </c>
      <c r="BY496" s="71" t="str">
        <f>Q496</f>
        <v>-</v>
      </c>
      <c r="BZ496" s="72">
        <f>U496</f>
        <v>640</v>
      </c>
      <c r="CA496" s="71" t="str">
        <f>Y496</f>
        <v>-</v>
      </c>
      <c r="CB496" s="72">
        <f>AC496</f>
        <v>1689</v>
      </c>
      <c r="CC496" s="71">
        <f>AG496</f>
        <v>1733</v>
      </c>
      <c r="CD496" s="72">
        <f>AK496</f>
        <v>1736</v>
      </c>
      <c r="CE496" s="71">
        <f>AO496</f>
        <v>1770</v>
      </c>
      <c r="CF496" s="72">
        <f>AS496</f>
        <v>1797</v>
      </c>
      <c r="CG496" s="71">
        <f>AW496</f>
        <v>1829</v>
      </c>
      <c r="CH496" s="70">
        <f>G496</f>
        <v>604</v>
      </c>
      <c r="CI496" s="71">
        <f>K496</f>
        <v>613</v>
      </c>
      <c r="CJ496" s="72">
        <f>O496</f>
        <v>636</v>
      </c>
      <c r="CK496" s="72" t="str">
        <f>S496</f>
        <v>-</v>
      </c>
      <c r="CL496" s="72">
        <f>W496</f>
        <v>678</v>
      </c>
      <c r="CM496" s="72" t="str">
        <f>AA496</f>
        <v>-</v>
      </c>
      <c r="CN496" s="72">
        <f>AE496</f>
        <v>1715</v>
      </c>
      <c r="CO496" s="72">
        <f>AI496</f>
        <v>1735</v>
      </c>
      <c r="CP496" s="72">
        <f>AM496</f>
        <v>1761</v>
      </c>
      <c r="CQ496" s="72">
        <f>AQ496</f>
        <v>1794</v>
      </c>
      <c r="CR496" s="72">
        <f>AU496</f>
        <v>1828</v>
      </c>
      <c r="CS496" s="72">
        <f>AY496</f>
        <v>1832</v>
      </c>
      <c r="CT496" s="23">
        <f>M496-K496</f>
        <v>1</v>
      </c>
      <c r="AMP496" s="3"/>
    </row>
    <row r="497" spans="1:1030" x14ac:dyDescent="0.2">
      <c r="A497" s="3" t="str">
        <f>CONCATENATE(B497,"_",C497)</f>
        <v>grm5_human_6FFI</v>
      </c>
      <c r="B497" s="3" t="s">
        <v>41</v>
      </c>
      <c r="C497" s="3" t="s">
        <v>1471</v>
      </c>
      <c r="D497" s="3" t="str">
        <f>IFERROR(MID(VLOOKUP($B497,Seqs!$A:$B,2,0),E497,1),"")</f>
        <v>P</v>
      </c>
      <c r="E497" s="3">
        <v>578</v>
      </c>
      <c r="F497" s="3" t="str">
        <f>IFERROR(MID(VLOOKUP($B497,Seqs!$A:$B,2,0),G497,1),"")</f>
        <v>Y</v>
      </c>
      <c r="G497" s="3">
        <v>604</v>
      </c>
      <c r="H497" s="3" t="str">
        <f>IFERROR(MID(VLOOKUP($B497,Seqs!$A:$B,2,0),I497,1),"")</f>
        <v>T</v>
      </c>
      <c r="I497" s="23">
        <v>607</v>
      </c>
      <c r="J497" s="3" t="str">
        <f>IFERROR(MID(VLOOKUP($B497,Seqs!$A:$B,2,0),K497,1),"")</f>
        <v>S</v>
      </c>
      <c r="K497" s="23">
        <v>613</v>
      </c>
      <c r="L497" s="3" t="str">
        <f>IFERROR(MID(VLOOKUP($B497,Seqs!$A:$B,2,0),M497,1),"")</f>
        <v>S</v>
      </c>
      <c r="M497" s="3">
        <v>614</v>
      </c>
      <c r="N497" s="3" t="str">
        <f>IFERROR(MID(VLOOKUP($B497,Seqs!$A:$B,2,0),O497,1),"")</f>
        <v>I</v>
      </c>
      <c r="O497" s="3">
        <v>636</v>
      </c>
      <c r="P497" s="3" t="str">
        <f>IFERROR(MID(VLOOKUP($B497,Seqs!$A:$B,2,0),Q497,1),"")</f>
        <v/>
      </c>
      <c r="Q497" s="3" t="s">
        <v>23</v>
      </c>
      <c r="R497" s="3" t="str">
        <f>IFERROR(MID(VLOOKUP($B497,Seqs!$A:$B,2,0),S497,1),"")</f>
        <v/>
      </c>
      <c r="S497" s="3" t="s">
        <v>23</v>
      </c>
      <c r="T497" s="3" t="str">
        <f>IFERROR(MID(VLOOKUP($B497,Seqs!$A:$B,2,0),U497,1),"")</f>
        <v>K</v>
      </c>
      <c r="U497" s="3">
        <v>640</v>
      </c>
      <c r="V497" s="3" t="str">
        <f>IFERROR(MID(VLOOKUP($B497,Seqs!$A:$B,2,0),W497,1),"")</f>
        <v>K</v>
      </c>
      <c r="W497" s="3">
        <v>678</v>
      </c>
      <c r="X497" s="3" t="str">
        <f>IFERROR(MID(VLOOKUP($B497,Seqs!$A:$B,2,0),Y497,1),"")</f>
        <v/>
      </c>
      <c r="Y497" s="3" t="s">
        <v>23</v>
      </c>
      <c r="Z497" s="3" t="str">
        <f>IFERROR(MID(VLOOKUP($B497,Seqs!$A:$B,2,0),AA497,1),"")</f>
        <v/>
      </c>
      <c r="AA497" s="3" t="s">
        <v>23</v>
      </c>
      <c r="AB497" s="3" t="str">
        <f>IFERROR(MID(VLOOKUP($B497,Seqs!$A:$B,2,0),AC497,1),"")</f>
        <v>D</v>
      </c>
      <c r="AC497" s="3">
        <v>849</v>
      </c>
      <c r="AD497" s="3" t="str">
        <f>IFERROR(MID(VLOOKUP($B497,Seqs!$A:$B,2,0),AE497,1),"")</f>
        <v>T</v>
      </c>
      <c r="AE497" s="3">
        <v>875</v>
      </c>
      <c r="AF497" s="3" t="str">
        <f>IFERROR(MID(VLOOKUP($B497,Seqs!$A:$B,2,0),AG497,1),"")</f>
        <v>F</v>
      </c>
      <c r="AG497" s="3">
        <v>893</v>
      </c>
      <c r="AH497" s="3" t="str">
        <f>IFERROR(MID(VLOOKUP($B497,Seqs!$A:$B,2,0),AI497,1),"")</f>
        <v>P</v>
      </c>
      <c r="AI497" s="3">
        <v>895</v>
      </c>
      <c r="AJ497" s="3" t="str">
        <f>IFERROR(MID(VLOOKUP($B497,Seqs!$A:$B,2,0),AK497,1),"")</f>
        <v>K</v>
      </c>
      <c r="AK497" s="3">
        <v>896</v>
      </c>
      <c r="AL497" s="3" t="str">
        <f>IFERROR(MID(VLOOKUP($B497,Seqs!$A:$B,2,0),AM497,1),"")</f>
        <v>E</v>
      </c>
      <c r="AM497" s="3">
        <v>921</v>
      </c>
      <c r="AN497" s="3" t="str">
        <f>IFERROR(MID(VLOOKUP($B497,Seqs!$A:$B,2,0),AO497,1),"")</f>
        <v>L</v>
      </c>
      <c r="AO497" s="3">
        <v>929</v>
      </c>
      <c r="AP497" s="3" t="str">
        <f>IFERROR(MID(VLOOKUP($B497,Seqs!$A:$B,2,0),AQ497,1),"")</f>
        <v>S</v>
      </c>
      <c r="AQ497" s="3">
        <v>955</v>
      </c>
      <c r="AR497" s="3" t="str">
        <f>IFERROR(MID(VLOOKUP($B497,Seqs!$A:$B,2,0),AS497,1),"")</f>
        <v>E</v>
      </c>
      <c r="AS497" s="3">
        <v>957</v>
      </c>
      <c r="AT497" s="3" t="str">
        <f>IFERROR(MID(VLOOKUP($B497,Seqs!$A:$B,2,0),AU497,1),"")</f>
        <v>G</v>
      </c>
      <c r="AU497" s="3">
        <v>988</v>
      </c>
      <c r="AV497" s="3" t="str">
        <f>IFERROR(MID(VLOOKUP($B497,Seqs!$A:$B,2,0),AW497,1),"")</f>
        <v>G</v>
      </c>
      <c r="AW497" s="3">
        <v>989</v>
      </c>
      <c r="AX497" s="3" t="str">
        <f>IFERROR(MID(VLOOKUP($B497,Seqs!$A:$B,2,0),AY497,1),"")</f>
        <v>S</v>
      </c>
      <c r="AY497" s="3">
        <v>992</v>
      </c>
      <c r="AZ497" s="77" t="str">
        <f>VLOOKUP(B497,Classification!A:D,2,0)</f>
        <v>C</v>
      </c>
      <c r="BA497" s="94" t="str">
        <f>VLOOKUP(B497,Classification!A:D,4,0)</f>
        <v>Metabotropicglutamate</v>
      </c>
      <c r="BB497" s="27" t="b">
        <f>AND(E497&lt;G497,OR(G497&lt;I497,I497="-"),OR(I497&lt;K497,I497="-"),OR(K497&lt;M497,K497="-"),M497&lt;O497,OR(O497&lt;Q497,Q497="-"),OR(Q497&lt;S497,Q497="-"),OR(S497&lt;U497,S497="-"),U497&lt;W497,OR(W497&lt;Y497,Y497="-"),OR(Y497&lt;AA497,Y497="-"),OR(AA497&lt;AC497,AA497="-"),AC497&lt;AE497,OR(AE497&lt;AG497,AG497="-"),OR(AG497&lt;AI497,AG497="-"),OR(AI497&lt;AK497,AI497="-"),AK497&lt;AM497,AM497&lt;AO497,AO497&lt;AQ497,AQ497&lt;AS497,AS497&lt;AU497,OR(AU497&lt;AW497,AW497="-"),OR(AW497&lt;AY497,AW497="-"))</f>
        <v>1</v>
      </c>
      <c r="BC497" s="23">
        <f>_xlfn.AGGREGATE(9,6,CH497:CS497)-_xlfn.AGGREGATE(9,6,BV497:CG497)+12</f>
        <v>217</v>
      </c>
      <c r="BD497" s="4" t="s">
        <v>23</v>
      </c>
      <c r="BE497" s="3" t="s">
        <v>1370</v>
      </c>
      <c r="BF497" s="118">
        <v>2.2000000000000002</v>
      </c>
      <c r="BG497" s="49" t="s">
        <v>1</v>
      </c>
      <c r="BH497" s="49" t="s">
        <v>1</v>
      </c>
      <c r="BJ497" s="70" t="s">
        <v>1283</v>
      </c>
      <c r="BK497" s="57" t="s">
        <v>1283</v>
      </c>
      <c r="BL497" s="57" t="s">
        <v>1283</v>
      </c>
      <c r="BM497" s="57" t="s">
        <v>1283</v>
      </c>
      <c r="BN497" s="57" t="s">
        <v>1283</v>
      </c>
      <c r="BO497" s="57" t="s">
        <v>1283</v>
      </c>
      <c r="BP497" s="57" t="s">
        <v>1283</v>
      </c>
      <c r="BQ497" s="57" t="s">
        <v>1283</v>
      </c>
      <c r="BR497" s="57" t="s">
        <v>1283</v>
      </c>
      <c r="BS497" s="57" t="s">
        <v>1283</v>
      </c>
      <c r="BT497" s="57" t="s">
        <v>1283</v>
      </c>
      <c r="BU497" s="57" t="s">
        <v>1283</v>
      </c>
      <c r="BV497" s="70">
        <f>E497</f>
        <v>578</v>
      </c>
      <c r="BW497" s="71">
        <f>I497</f>
        <v>607</v>
      </c>
      <c r="BX497" s="72">
        <f>M497</f>
        <v>614</v>
      </c>
      <c r="BY497" s="71" t="str">
        <f>Q497</f>
        <v>-</v>
      </c>
      <c r="BZ497" s="72">
        <f>U497</f>
        <v>640</v>
      </c>
      <c r="CA497" s="71" t="str">
        <f>Y497</f>
        <v>-</v>
      </c>
      <c r="CB497" s="72">
        <f>AC497</f>
        <v>849</v>
      </c>
      <c r="CC497" s="71">
        <f>AG497</f>
        <v>893</v>
      </c>
      <c r="CD497" s="72">
        <f>AK497</f>
        <v>896</v>
      </c>
      <c r="CE497" s="71">
        <f>AO497</f>
        <v>929</v>
      </c>
      <c r="CF497" s="72">
        <f>AS497</f>
        <v>957</v>
      </c>
      <c r="CG497" s="71">
        <f>AW497</f>
        <v>989</v>
      </c>
      <c r="CH497" s="70">
        <f>G497</f>
        <v>604</v>
      </c>
      <c r="CI497" s="71">
        <f>K497</f>
        <v>613</v>
      </c>
      <c r="CJ497" s="72">
        <f>O497</f>
        <v>636</v>
      </c>
      <c r="CK497" s="72" t="str">
        <f>S497</f>
        <v>-</v>
      </c>
      <c r="CL497" s="72">
        <f>W497</f>
        <v>678</v>
      </c>
      <c r="CM497" s="72" t="str">
        <f>AA497</f>
        <v>-</v>
      </c>
      <c r="CN497" s="72">
        <f>AE497</f>
        <v>875</v>
      </c>
      <c r="CO497" s="72">
        <f>AI497</f>
        <v>895</v>
      </c>
      <c r="CP497" s="72">
        <f>AM497</f>
        <v>921</v>
      </c>
      <c r="CQ497" s="72">
        <f>AQ497</f>
        <v>955</v>
      </c>
      <c r="CR497" s="72">
        <f>AU497</f>
        <v>988</v>
      </c>
      <c r="CS497" s="72">
        <f>AY497</f>
        <v>992</v>
      </c>
      <c r="CT497" s="23">
        <f>M497-K497</f>
        <v>1</v>
      </c>
      <c r="AMP497" s="3"/>
    </row>
    <row r="498" spans="1:1030" x14ac:dyDescent="0.2">
      <c r="A498" s="3" t="str">
        <f>CONCATENATE(B498,"_",C498)</f>
        <v>grm5_human_6N51</v>
      </c>
      <c r="B498" s="3" t="s">
        <v>41</v>
      </c>
      <c r="C498" s="3" t="s">
        <v>1548</v>
      </c>
      <c r="D498" s="3" t="str">
        <f>IFERROR(MID(VLOOKUP($B498,Seqs!$A:$B,2,0),E498,1),"")</f>
        <v>D</v>
      </c>
      <c r="E498" s="3">
        <v>577</v>
      </c>
      <c r="F498" s="3" t="str">
        <f>IFERROR(MID(VLOOKUP($B498,Seqs!$A:$B,2,0),G498,1),"")</f>
        <v>I</v>
      </c>
      <c r="G498" s="3">
        <v>602</v>
      </c>
      <c r="H498" s="3" t="str">
        <f>IFERROR(MID(VLOOKUP($B498,Seqs!$A:$B,2,0),I498,1),"")</f>
        <v>T</v>
      </c>
      <c r="I498" s="23">
        <v>607</v>
      </c>
      <c r="J498" s="3" t="str">
        <f>IFERROR(MID(VLOOKUP($B498,Seqs!$A:$B,2,0),K498,1),"")</f>
        <v>S</v>
      </c>
      <c r="K498" s="23">
        <v>613</v>
      </c>
      <c r="L498" s="3" t="str">
        <f>IFERROR(MID(VLOOKUP($B498,Seqs!$A:$B,2,0),M498,1),"")</f>
        <v>S</v>
      </c>
      <c r="M498" s="3">
        <v>614</v>
      </c>
      <c r="N498" s="3" t="str">
        <f>IFERROR(MID(VLOOKUP($B498,Seqs!$A:$B,2,0),O498,1),"")</f>
        <v>C</v>
      </c>
      <c r="O498" s="3">
        <v>634</v>
      </c>
      <c r="P498" s="3" t="str">
        <f>IFERROR(MID(VLOOKUP($B498,Seqs!$A:$B,2,0),Q498,1),"")</f>
        <v/>
      </c>
      <c r="Q498" s="3" t="s">
        <v>23</v>
      </c>
      <c r="R498" s="3" t="str">
        <f>IFERROR(MID(VLOOKUP($B498,Seqs!$A:$B,2,0),S498,1),"")</f>
        <v/>
      </c>
      <c r="S498" s="3" t="s">
        <v>23</v>
      </c>
      <c r="T498" s="3" t="str">
        <f>IFERROR(MID(VLOOKUP($B498,Seqs!$A:$B,2,0),U498,1),"")</f>
        <v>K</v>
      </c>
      <c r="U498" s="3">
        <v>640</v>
      </c>
      <c r="V498" s="3" t="str">
        <f>IFERROR(MID(VLOOKUP($B498,Seqs!$A:$B,2,0),W498,1),"")</f>
        <v>A</v>
      </c>
      <c r="W498" s="3">
        <v>674</v>
      </c>
      <c r="X498" s="3" t="str">
        <f>IFERROR(MID(VLOOKUP($B498,Seqs!$A:$B,2,0),Y498,1),"")</f>
        <v/>
      </c>
      <c r="Y498" s="3" t="s">
        <v>23</v>
      </c>
      <c r="Z498" s="3" t="str">
        <f>IFERROR(MID(VLOOKUP($B498,Seqs!$A:$B,2,0),AA498,1),"")</f>
        <v/>
      </c>
      <c r="AA498" s="3" t="s">
        <v>23</v>
      </c>
      <c r="AB498" s="3" t="str">
        <f>IFERROR(MID(VLOOKUP($B498,Seqs!$A:$B,2,0),AC498,1),"")</f>
        <v>S</v>
      </c>
      <c r="AC498" s="3">
        <v>689</v>
      </c>
      <c r="AD498" s="3" t="str">
        <f>IFERROR(MID(VLOOKUP($B498,Seqs!$A:$B,2,0),AE498,1),"")</f>
        <v>E</v>
      </c>
      <c r="AE498" s="3">
        <v>715</v>
      </c>
      <c r="AF498" s="3" t="str">
        <f>IFERROR(MID(VLOOKUP($B498,Seqs!$A:$B,2,0),AG498,1),"")</f>
        <v>C</v>
      </c>
      <c r="AG498" s="3">
        <v>733</v>
      </c>
      <c r="AH498" s="3" t="str">
        <f>IFERROR(MID(VLOOKUP($B498,Seqs!$A:$B,2,0),AI498,1),"")</f>
        <v>T</v>
      </c>
      <c r="AI498" s="3">
        <v>735</v>
      </c>
      <c r="AJ498" s="3" t="str">
        <f>IFERROR(MID(VLOOKUP($B498,Seqs!$A:$B,2,0),AK498,1),"")</f>
        <v>N</v>
      </c>
      <c r="AK498" s="3">
        <v>737</v>
      </c>
      <c r="AL498" s="3" t="str">
        <f>IFERROR(MID(VLOOKUP($B498,Seqs!$A:$B,2,0),AM498,1),"")</f>
        <v>A</v>
      </c>
      <c r="AM498" s="3">
        <v>758</v>
      </c>
      <c r="AN498" s="3" t="str">
        <f>IFERROR(MID(VLOOKUP($B498,Seqs!$A:$B,2,0),AO498,1),"")</f>
        <v>N</v>
      </c>
      <c r="AO498" s="3">
        <v>769</v>
      </c>
      <c r="AP498" s="3" t="str">
        <f>IFERROR(MID(VLOOKUP($B498,Seqs!$A:$B,2,0),AQ498,1),"")</f>
        <v>G</v>
      </c>
      <c r="AQ498" s="3">
        <v>794</v>
      </c>
      <c r="AR498" s="3" t="str">
        <f>IFERROR(MID(VLOOKUP($B498,Seqs!$A:$B,2,0),AS498,1),"")</f>
        <v>I</v>
      </c>
      <c r="AS498" s="3">
        <v>799</v>
      </c>
      <c r="AT498" s="3" t="str">
        <f>IFERROR(MID(VLOOKUP($B498,Seqs!$A:$B,2,0),AU498,1),"")</f>
        <v>L</v>
      </c>
      <c r="AU498" s="3">
        <v>826</v>
      </c>
      <c r="AV498" s="3" t="str">
        <f>IFERROR(MID(VLOOKUP($B498,Seqs!$A:$B,2,0),AW498,1),"")</f>
        <v/>
      </c>
      <c r="AW498" s="3" t="s">
        <v>23</v>
      </c>
      <c r="AX498" s="3" t="str">
        <f>IFERROR(MID(VLOOKUP($B498,Seqs!$A:$B,2,0),AY498,1),"")</f>
        <v/>
      </c>
      <c r="AY498" s="3" t="s">
        <v>23</v>
      </c>
      <c r="AZ498" s="77" t="str">
        <f>VLOOKUP(B498,Classification!A:D,2,0)</f>
        <v>C</v>
      </c>
      <c r="BA498" s="94" t="str">
        <f>VLOOKUP(B498,Classification!A:D,4,0)</f>
        <v>Metabotropicglutamate</v>
      </c>
      <c r="BB498" s="27" t="b">
        <f>AND(E498&lt;G498,OR(G498&lt;I498,I498="-"),OR(I498&lt;K498,I498="-"),OR(K498&lt;M498,K498="-"),M498&lt;O498,OR(O498&lt;Q498,Q498="-"),OR(Q498&lt;S498,Q498="-"),OR(S498&lt;U498,S498="-"),U498&lt;W498,OR(W498&lt;Y498,Y498="-"),OR(Y498&lt;AA498,Y498="-"),OR(AA498&lt;AC498,AA498="-"),AC498&lt;AE498,OR(AE498&lt;AG498,AG498="-"),OR(AG498&lt;AI498,AG498="-"),OR(AI498&lt;AK498,AI498="-"),AK498&lt;AM498,AM498&lt;AO498,AO498&lt;AQ498,AQ498&lt;AS498,AS498&lt;AU498,OR(AU498&lt;AW498,AW498="-"),OR(AW498&lt;AY498,AW498="-"))</f>
        <v>1</v>
      </c>
      <c r="BC498" s="23">
        <f>_xlfn.AGGREGATE(9,6,CH498:CS498)-_xlfn.AGGREGATE(9,6,BV498:CG498)+12</f>
        <v>198</v>
      </c>
      <c r="BD498" s="4" t="s">
        <v>23</v>
      </c>
      <c r="BE498" s="3" t="s">
        <v>1370</v>
      </c>
      <c r="BF498" s="118">
        <v>4</v>
      </c>
      <c r="BG498" s="49" t="s">
        <v>1277</v>
      </c>
      <c r="BH498" s="49" t="s">
        <v>1277</v>
      </c>
      <c r="BJ498" s="70" t="s">
        <v>1283</v>
      </c>
      <c r="BK498" s="57" t="s">
        <v>1283</v>
      </c>
      <c r="BL498" s="57" t="s">
        <v>1283</v>
      </c>
      <c r="BM498" s="57" t="s">
        <v>1283</v>
      </c>
      <c r="BN498" s="57" t="s">
        <v>1283</v>
      </c>
      <c r="BO498" s="57" t="s">
        <v>1283</v>
      </c>
      <c r="BP498" s="57" t="s">
        <v>1283</v>
      </c>
      <c r="BQ498" s="57" t="s">
        <v>1283</v>
      </c>
      <c r="BR498" s="57" t="s">
        <v>1283</v>
      </c>
      <c r="BS498" s="57" t="s">
        <v>1283</v>
      </c>
      <c r="BT498" s="57" t="s">
        <v>1283</v>
      </c>
      <c r="BU498" s="57" t="s">
        <v>1283</v>
      </c>
      <c r="BV498" s="70">
        <f>E498</f>
        <v>577</v>
      </c>
      <c r="BW498" s="71">
        <f>I498</f>
        <v>607</v>
      </c>
      <c r="BX498" s="72">
        <f>M498</f>
        <v>614</v>
      </c>
      <c r="BY498" s="71" t="str">
        <f>Q498</f>
        <v>-</v>
      </c>
      <c r="BZ498" s="72">
        <f>U498</f>
        <v>640</v>
      </c>
      <c r="CA498" s="71" t="str">
        <f>Y498</f>
        <v>-</v>
      </c>
      <c r="CB498" s="72">
        <f>AC498</f>
        <v>689</v>
      </c>
      <c r="CC498" s="71">
        <f>AG498</f>
        <v>733</v>
      </c>
      <c r="CD498" s="72">
        <f>AK498</f>
        <v>737</v>
      </c>
      <c r="CE498" s="71">
        <f>AO498</f>
        <v>769</v>
      </c>
      <c r="CF498" s="72">
        <f>AS498</f>
        <v>799</v>
      </c>
      <c r="CG498" s="71" t="str">
        <f>AW498</f>
        <v>-</v>
      </c>
      <c r="CH498" s="70">
        <f>G498</f>
        <v>602</v>
      </c>
      <c r="CI498" s="71">
        <f>K498</f>
        <v>613</v>
      </c>
      <c r="CJ498" s="72">
        <f>O498</f>
        <v>634</v>
      </c>
      <c r="CK498" s="72" t="str">
        <f>S498</f>
        <v>-</v>
      </c>
      <c r="CL498" s="72">
        <f>W498</f>
        <v>674</v>
      </c>
      <c r="CM498" s="72" t="str">
        <f>AA498</f>
        <v>-</v>
      </c>
      <c r="CN498" s="72">
        <f>AE498</f>
        <v>715</v>
      </c>
      <c r="CO498" s="72">
        <f>AI498</f>
        <v>735</v>
      </c>
      <c r="CP498" s="72">
        <f>AM498</f>
        <v>758</v>
      </c>
      <c r="CQ498" s="72">
        <f>AQ498</f>
        <v>794</v>
      </c>
      <c r="CR498" s="72">
        <f>AU498</f>
        <v>826</v>
      </c>
      <c r="CS498" s="72" t="str">
        <f>AY498</f>
        <v>-</v>
      </c>
      <c r="CT498" s="23">
        <f>M498-K498</f>
        <v>1</v>
      </c>
      <c r="AMP498" s="3"/>
    </row>
    <row r="499" spans="1:1030" x14ac:dyDescent="0.2">
      <c r="A499" s="3" t="str">
        <f>CONCATENATE(B499,"_",C499)</f>
        <v>grm5_human_6N52</v>
      </c>
      <c r="B499" s="3" t="s">
        <v>41</v>
      </c>
      <c r="C499" s="3" t="s">
        <v>1549</v>
      </c>
      <c r="D499" s="3" t="str">
        <f>IFERROR(MID(VLOOKUP($B499,Seqs!$A:$B,2,0),E499,1),"")</f>
        <v>P</v>
      </c>
      <c r="E499" s="3">
        <v>580</v>
      </c>
      <c r="F499" s="3" t="str">
        <f>IFERROR(MID(VLOOKUP($B499,Seqs!$A:$B,2,0),G499,1),"")</f>
        <v>T</v>
      </c>
      <c r="G499" s="3">
        <v>598</v>
      </c>
      <c r="H499" s="3" t="str">
        <f>IFERROR(MID(VLOOKUP($B499,Seqs!$A:$B,2,0),I499,1),"")</f>
        <v>T</v>
      </c>
      <c r="I499" s="23">
        <v>607</v>
      </c>
      <c r="J499" s="3" t="str">
        <f>IFERROR(MID(VLOOKUP($B499,Seqs!$A:$B,2,0),K499,1),"")</f>
        <v>S</v>
      </c>
      <c r="K499" s="23">
        <v>613</v>
      </c>
      <c r="L499" s="3" t="str">
        <f>IFERROR(MID(VLOOKUP($B499,Seqs!$A:$B,2,0),M499,1),"")</f>
        <v>S</v>
      </c>
      <c r="M499" s="3">
        <v>614</v>
      </c>
      <c r="N499" s="3" t="str">
        <f>IFERROR(MID(VLOOKUP($B499,Seqs!$A:$B,2,0),O499,1),"")</f>
        <v>I</v>
      </c>
      <c r="O499" s="3">
        <v>636</v>
      </c>
      <c r="P499" s="3" t="str">
        <f>IFERROR(MID(VLOOKUP($B499,Seqs!$A:$B,2,0),Q499,1),"")</f>
        <v/>
      </c>
      <c r="Q499" s="3" t="s">
        <v>23</v>
      </c>
      <c r="R499" s="3" t="str">
        <f>IFERROR(MID(VLOOKUP($B499,Seqs!$A:$B,2,0),S499,1),"")</f>
        <v/>
      </c>
      <c r="S499" s="3" t="s">
        <v>23</v>
      </c>
      <c r="T499" s="3" t="str">
        <f>IFERROR(MID(VLOOKUP($B499,Seqs!$A:$B,2,0),U499,1),"")</f>
        <v>K</v>
      </c>
      <c r="U499" s="3">
        <v>640</v>
      </c>
      <c r="V499" s="3" t="str">
        <f>IFERROR(MID(VLOOKUP($B499,Seqs!$A:$B,2,0),W499,1),"")</f>
        <v>I</v>
      </c>
      <c r="W499" s="3">
        <v>669</v>
      </c>
      <c r="X499" s="3" t="str">
        <f>IFERROR(MID(VLOOKUP($B499,Seqs!$A:$B,2,0),Y499,1),"")</f>
        <v/>
      </c>
      <c r="Y499" s="3" t="s">
        <v>23</v>
      </c>
      <c r="Z499" s="3" t="str">
        <f>IFERROR(MID(VLOOKUP($B499,Seqs!$A:$B,2,0),AA499,1),"")</f>
        <v/>
      </c>
      <c r="AA499" s="3" t="s">
        <v>23</v>
      </c>
      <c r="AB499" s="3" t="str">
        <f>IFERROR(MID(VLOOKUP($B499,Seqs!$A:$B,2,0),AC499,1),"")</f>
        <v>A</v>
      </c>
      <c r="AC499" s="3">
        <v>692</v>
      </c>
      <c r="AD499" s="3" t="str">
        <f>IFERROR(MID(VLOOKUP($B499,Seqs!$A:$B,2,0),AE499,1),"")</f>
        <v>E</v>
      </c>
      <c r="AE499" s="3">
        <v>715</v>
      </c>
      <c r="AF499" s="3" t="str">
        <f>IFERROR(MID(VLOOKUP($B499,Seqs!$A:$B,2,0),AG499,1),"")</f>
        <v>C</v>
      </c>
      <c r="AG499" s="3">
        <v>733</v>
      </c>
      <c r="AH499" s="3" t="str">
        <f>IFERROR(MID(VLOOKUP($B499,Seqs!$A:$B,2,0),AI499,1),"")</f>
        <v>T</v>
      </c>
      <c r="AI499" s="3">
        <v>735</v>
      </c>
      <c r="AJ499" s="3" t="str">
        <f>IFERROR(MID(VLOOKUP($B499,Seqs!$A:$B,2,0),AK499,1),"")</f>
        <v>T</v>
      </c>
      <c r="AK499" s="3">
        <v>736</v>
      </c>
      <c r="AL499" s="3" t="str">
        <f>IFERROR(MID(VLOOKUP($B499,Seqs!$A:$B,2,0),AM499,1),"")</f>
        <v>T</v>
      </c>
      <c r="AM499" s="3">
        <v>761</v>
      </c>
      <c r="AN499" s="3" t="str">
        <f>IFERROR(MID(VLOOKUP($B499,Seqs!$A:$B,2,0),AO499,1),"")</f>
        <v>E</v>
      </c>
      <c r="AO499" s="3">
        <v>770</v>
      </c>
      <c r="AP499" s="3" t="str">
        <f>IFERROR(MID(VLOOKUP($B499,Seqs!$A:$B,2,0),AQ499,1),"")</f>
        <v>F</v>
      </c>
      <c r="AQ499" s="3">
        <v>793</v>
      </c>
      <c r="AR499" s="3" t="str">
        <f>IFERROR(MID(VLOOKUP($B499,Seqs!$A:$B,2,0),AS499,1),"")</f>
        <v>I</v>
      </c>
      <c r="AS499" s="3">
        <v>799</v>
      </c>
      <c r="AT499" s="3" t="str">
        <f>IFERROR(MID(VLOOKUP($B499,Seqs!$A:$B,2,0),AU499,1),"")</f>
        <v>K</v>
      </c>
      <c r="AU499" s="3">
        <v>828</v>
      </c>
      <c r="AV499" s="3" t="str">
        <f>IFERROR(MID(VLOOKUP($B499,Seqs!$A:$B,2,0),AW499,1),"")</f>
        <v>P</v>
      </c>
      <c r="AW499" s="3">
        <v>829</v>
      </c>
      <c r="AX499" s="3" t="str">
        <f>IFERROR(MID(VLOOKUP($B499,Seqs!$A:$B,2,0),AY499,1),"")</f>
        <v>N</v>
      </c>
      <c r="AY499" s="3">
        <v>832</v>
      </c>
      <c r="AZ499" s="77" t="str">
        <f>VLOOKUP(B499,Classification!A:D,2,0)</f>
        <v>C</v>
      </c>
      <c r="BA499" s="94" t="str">
        <f>VLOOKUP(B499,Classification!A:D,4,0)</f>
        <v>Metabotropicglutamate</v>
      </c>
      <c r="BB499" s="27" t="b">
        <f>AND(E499&lt;G499,OR(G499&lt;I499,I499="-"),OR(I499&lt;K499,I499="-"),OR(K499&lt;M499,K499="-"),M499&lt;O499,OR(O499&lt;Q499,Q499="-"),OR(Q499&lt;S499,Q499="-"),OR(S499&lt;U499,S499="-"),U499&lt;W499,OR(W499&lt;Y499,Y499="-"),OR(Y499&lt;AA499,Y499="-"),OR(AA499&lt;AC499,AA499="-"),AC499&lt;AE499,OR(AE499&lt;AG499,AG499="-"),OR(AG499&lt;AI499,AG499="-"),OR(AI499&lt;AK499,AI499="-"),AK499&lt;AM499,AM499&lt;AO499,AO499&lt;AQ499,AQ499&lt;AS499,AS499&lt;AU499,OR(AU499&lt;AW499,AW499="-"),OR(AW499&lt;AY499,AW499="-"))</f>
        <v>1</v>
      </c>
      <c r="BC499" s="23">
        <f>_xlfn.AGGREGATE(9,6,CH499:CS499)-_xlfn.AGGREGATE(9,6,BV499:CG499)+12</f>
        <v>192</v>
      </c>
      <c r="BD499" s="4" t="s">
        <v>23</v>
      </c>
      <c r="BE499" s="3" t="s">
        <v>1370</v>
      </c>
      <c r="BF499" s="118">
        <v>4</v>
      </c>
      <c r="BG499" s="49" t="s">
        <v>1</v>
      </c>
      <c r="BH499" s="49" t="s">
        <v>1</v>
      </c>
      <c r="BJ499" s="70" t="s">
        <v>1283</v>
      </c>
      <c r="BK499" s="57" t="s">
        <v>1283</v>
      </c>
      <c r="BL499" s="57" t="s">
        <v>1283</v>
      </c>
      <c r="BM499" s="57" t="s">
        <v>1283</v>
      </c>
      <c r="BN499" s="57" t="s">
        <v>1283</v>
      </c>
      <c r="BO499" s="57" t="s">
        <v>1283</v>
      </c>
      <c r="BP499" s="57" t="s">
        <v>1283</v>
      </c>
      <c r="BQ499" s="57" t="s">
        <v>1283</v>
      </c>
      <c r="BR499" s="57" t="s">
        <v>1283</v>
      </c>
      <c r="BS499" s="57" t="s">
        <v>1283</v>
      </c>
      <c r="BT499" s="57" t="s">
        <v>1283</v>
      </c>
      <c r="BU499" s="57" t="s">
        <v>1283</v>
      </c>
      <c r="BV499" s="70">
        <f>E499</f>
        <v>580</v>
      </c>
      <c r="BW499" s="71">
        <f>I499</f>
        <v>607</v>
      </c>
      <c r="BX499" s="72">
        <f>M499</f>
        <v>614</v>
      </c>
      <c r="BY499" s="71" t="str">
        <f>Q499</f>
        <v>-</v>
      </c>
      <c r="BZ499" s="72">
        <f>U499</f>
        <v>640</v>
      </c>
      <c r="CA499" s="71" t="str">
        <f>Y499</f>
        <v>-</v>
      </c>
      <c r="CB499" s="72">
        <f>AC499</f>
        <v>692</v>
      </c>
      <c r="CC499" s="71">
        <f>AG499</f>
        <v>733</v>
      </c>
      <c r="CD499" s="72">
        <f>AK499</f>
        <v>736</v>
      </c>
      <c r="CE499" s="71">
        <f>AO499</f>
        <v>770</v>
      </c>
      <c r="CF499" s="72">
        <f>AS499</f>
        <v>799</v>
      </c>
      <c r="CG499" s="71">
        <f>AW499</f>
        <v>829</v>
      </c>
      <c r="CH499" s="70">
        <f>G499</f>
        <v>598</v>
      </c>
      <c r="CI499" s="71">
        <f>K499</f>
        <v>613</v>
      </c>
      <c r="CJ499" s="72">
        <f>O499</f>
        <v>636</v>
      </c>
      <c r="CK499" s="72" t="str">
        <f>S499</f>
        <v>-</v>
      </c>
      <c r="CL499" s="72">
        <f>W499</f>
        <v>669</v>
      </c>
      <c r="CM499" s="72" t="str">
        <f>AA499</f>
        <v>-</v>
      </c>
      <c r="CN499" s="72">
        <f>AE499</f>
        <v>715</v>
      </c>
      <c r="CO499" s="72">
        <f>AI499</f>
        <v>735</v>
      </c>
      <c r="CP499" s="72">
        <f>AM499</f>
        <v>761</v>
      </c>
      <c r="CQ499" s="72">
        <f>AQ499</f>
        <v>793</v>
      </c>
      <c r="CR499" s="72">
        <f>AU499</f>
        <v>828</v>
      </c>
      <c r="CS499" s="72">
        <f>AY499</f>
        <v>832</v>
      </c>
      <c r="CT499" s="23">
        <f>M499-K499</f>
        <v>1</v>
      </c>
      <c r="AMP499" s="3"/>
    </row>
    <row r="500" spans="1:1030" x14ac:dyDescent="0.2">
      <c r="A500" s="3" t="str">
        <f>CONCATENATE(B500,"_",C500)</f>
        <v>fzd4_human__wt</v>
      </c>
      <c r="B500" s="3" t="s">
        <v>446</v>
      </c>
      <c r="C500" s="3" t="s">
        <v>100</v>
      </c>
      <c r="D500" s="3" t="str">
        <f>IFERROR(MID(VLOOKUP($B500,Seqs!$A:$B,2,0),E500,1),"")</f>
        <v>S</v>
      </c>
      <c r="E500" s="3">
        <v>212</v>
      </c>
      <c r="F500" s="3" t="str">
        <f>IFERROR(MID(VLOOKUP($B500,Seqs!$A:$B,2,0),G500,1),"")</f>
        <v>D</v>
      </c>
      <c r="G500" s="3">
        <v>244</v>
      </c>
      <c r="H500" s="3" t="str">
        <f>IFERROR(MID(VLOOKUP($B500,Seqs!$A:$B,2,0),I500,1),"")</f>
        <v>S</v>
      </c>
      <c r="I500" s="23">
        <v>245</v>
      </c>
      <c r="J500" s="3" t="str">
        <f>IFERROR(MID(VLOOKUP($B500,Seqs!$A:$B,2,0),K500,1),"")</f>
        <v>S</v>
      </c>
      <c r="K500" s="23">
        <v>249</v>
      </c>
      <c r="L500" s="3" t="str">
        <f>IFERROR(MID(VLOOKUP($B500,Seqs!$A:$B,2,0),M500,1),"")</f>
        <v>Y</v>
      </c>
      <c r="M500" s="3">
        <v>250</v>
      </c>
      <c r="N500" s="3" t="str">
        <f>IFERROR(MID(VLOOKUP($B500,Seqs!$A:$B,2,0),O500,1),"")</f>
        <v>G</v>
      </c>
      <c r="O500" s="3">
        <v>276</v>
      </c>
      <c r="P500" s="3" t="str">
        <f>IFERROR(MID(VLOOKUP($B500,Seqs!$A:$B,2,0),Q500,1),"")</f>
        <v/>
      </c>
      <c r="Q500" s="3" t="s">
        <v>23</v>
      </c>
      <c r="R500" s="3" t="str">
        <f>IFERROR(MID(VLOOKUP($B500,Seqs!$A:$B,2,0),S500,1),"")</f>
        <v/>
      </c>
      <c r="S500" s="3" t="s">
        <v>23</v>
      </c>
      <c r="T500" s="3" t="str">
        <f>IFERROR(MID(VLOOKUP($B500,Seqs!$A:$B,2,0),U500,1),"")</f>
        <v>N</v>
      </c>
      <c r="U500" s="3">
        <v>299</v>
      </c>
      <c r="V500" s="3" t="str">
        <f>IFERROR(MID(VLOOKUP($B500,Seqs!$A:$B,2,0),W500,1),"")</f>
        <v>G</v>
      </c>
      <c r="W500" s="3">
        <v>332</v>
      </c>
      <c r="X500" s="3" t="str">
        <f>IFERROR(MID(VLOOKUP($B500,Seqs!$A:$B,2,0),Y500,1),"")</f>
        <v/>
      </c>
      <c r="Y500" s="3" t="s">
        <v>23</v>
      </c>
      <c r="Z500" s="3" t="str">
        <f>IFERROR(MID(VLOOKUP($B500,Seqs!$A:$B,2,0),AA500,1),"")</f>
        <v/>
      </c>
      <c r="AA500" s="3" t="s">
        <v>23</v>
      </c>
      <c r="AB500" s="3" t="str">
        <f>IFERROR(MID(VLOOKUP($B500,Seqs!$A:$B,2,0),AC500,1),"")</f>
        <v>H</v>
      </c>
      <c r="AC500" s="3">
        <v>343</v>
      </c>
      <c r="AD500" s="3" t="str">
        <f>IFERROR(MID(VLOOKUP($B500,Seqs!$A:$B,2,0),AE500,1),"")</f>
        <v>R</v>
      </c>
      <c r="AE500" s="3">
        <v>366</v>
      </c>
      <c r="AF500" s="3" t="str">
        <f>IFERROR(MID(VLOOKUP($B500,Seqs!$A:$B,2,0),AG500,1),"")</f>
        <v>C</v>
      </c>
      <c r="AG500" s="3">
        <v>377</v>
      </c>
      <c r="AH500" s="3" t="str">
        <f>IFERROR(MID(VLOOKUP($B500,Seqs!$A:$B,2,0),AI500,1),"")</f>
        <v>V</v>
      </c>
      <c r="AI500" s="3">
        <v>379</v>
      </c>
      <c r="AJ500" s="3" t="str">
        <f>IFERROR(MID(VLOOKUP($B500,Seqs!$A:$B,2,0),AK500,1),"")</f>
        <v>N</v>
      </c>
      <c r="AK500" s="3">
        <v>383</v>
      </c>
      <c r="AL500" s="3" t="str">
        <f>IFERROR(MID(VLOOKUP($B500,Seqs!$A:$B,2,0),AM500,1),"")</f>
        <v>L</v>
      </c>
      <c r="AM500" s="3">
        <v>420</v>
      </c>
      <c r="AN500" s="3" t="str">
        <f>IFERROR(MID(VLOOKUP($B500,Seqs!$A:$B,2,0),AO500,1),"")</f>
        <v>E</v>
      </c>
      <c r="AO500" s="3">
        <v>431</v>
      </c>
      <c r="AP500" s="3" t="str">
        <f>IFERROR(MID(VLOOKUP($B500,Seqs!$A:$B,2,0),AQ500,1),"")</f>
        <v>N</v>
      </c>
      <c r="AQ500" s="3">
        <v>461</v>
      </c>
      <c r="AR500" s="3" t="str">
        <f>IFERROR(MID(VLOOKUP($B500,Seqs!$A:$B,2,0),AS500,1),"")</f>
        <v>N</v>
      </c>
      <c r="AS500" s="3">
        <v>473</v>
      </c>
      <c r="AT500" s="3" t="str">
        <f>IFERROR(MID(VLOOKUP($B500,Seqs!$A:$B,2,0),AU500,1),"")</f>
        <v>W</v>
      </c>
      <c r="AU500" s="3">
        <v>496</v>
      </c>
      <c r="AV500" s="3" t="str">
        <f>IFERROR(MID(VLOOKUP($B500,Seqs!$A:$B,2,0),AW500,1),"")</f>
        <v>S</v>
      </c>
      <c r="AW500" s="3">
        <v>497</v>
      </c>
      <c r="AX500" s="3" t="str">
        <f>IFERROR(MID(VLOOKUP($B500,Seqs!$A:$B,2,0),AY500,1),"")</f>
        <v>V</v>
      </c>
      <c r="AY500" s="3">
        <v>512</v>
      </c>
      <c r="AZ500" s="77" t="str">
        <f>VLOOKUP(B500,Classification!A:D,2,0)</f>
        <v>F</v>
      </c>
      <c r="BA500" s="94" t="str">
        <f>VLOOKUP(B500,Classification!A:D,4,0)</f>
        <v>Frizzled</v>
      </c>
      <c r="BB500" s="27" t="b">
        <f t="shared" ref="BB500:BB501" si="5060">AND(E500&lt;G500,OR(G500&lt;I500,I500="-"),OR(I500&lt;K500,I500="-"),OR(K500&lt;M500,K500="-"),M500&lt;O500,OR(O500&lt;Q500,Q500="-"),OR(Q500&lt;S500,Q500="-"),OR(S500&lt;U500,S500="-"),U500&lt;W500,OR(W500&lt;Y500,Y500="-"),OR(Y500&lt;AA500,Y500="-"),OR(AA500&lt;AC500,AA500="-"),AC500&lt;AE500,OR(AE500&lt;AG500,AG500="-"),OR(AG500&lt;AI500,AG500="-"),OR(AI500&lt;AK500,AI500="-"),AK500&lt;AM500,AM500&lt;AO500,AO500&lt;AQ500,AQ500&lt;AS500,AS500&lt;AU500,OR(AU500&lt;AW500,AW500="-"),OR(AW500&lt;AY500,AW500="-"))</f>
        <v>1</v>
      </c>
      <c r="BC500" s="23">
        <f t="shared" ref="BC500:BC501" si="5061">_xlfn.AGGREGATE(9,6,CH500:CS500)-_xlfn.AGGREGATE(9,6,BV500:CG500)+12</f>
        <v>237</v>
      </c>
      <c r="BD500" s="4" t="s">
        <v>23</v>
      </c>
      <c r="BE500" s="3" t="s">
        <v>23</v>
      </c>
      <c r="BF500" s="118" t="s">
        <v>23</v>
      </c>
      <c r="BG500" s="49" t="s">
        <v>23</v>
      </c>
      <c r="BH500" s="49" t="s">
        <v>23</v>
      </c>
      <c r="BJ500" s="70" t="s">
        <v>1283</v>
      </c>
      <c r="BK500" s="57" t="s">
        <v>1283</v>
      </c>
      <c r="BL500" s="57" t="s">
        <v>1283</v>
      </c>
      <c r="BM500" s="57" t="s">
        <v>1283</v>
      </c>
      <c r="BN500" s="57" t="s">
        <v>1283</v>
      </c>
      <c r="BO500" s="57" t="s">
        <v>1283</v>
      </c>
      <c r="BP500" s="57" t="s">
        <v>1283</v>
      </c>
      <c r="BQ500" s="57" t="s">
        <v>1283</v>
      </c>
      <c r="BR500" s="57" t="s">
        <v>1283</v>
      </c>
      <c r="BS500" s="57" t="s">
        <v>1283</v>
      </c>
      <c r="BT500" s="57" t="s">
        <v>1283</v>
      </c>
      <c r="BU500" s="57" t="s">
        <v>1283</v>
      </c>
      <c r="BV500" s="70">
        <f t="shared" ref="BV500:BV501" si="5062">E500</f>
        <v>212</v>
      </c>
      <c r="BW500" s="71">
        <f t="shared" ref="BW500:BW501" si="5063">I500</f>
        <v>245</v>
      </c>
      <c r="BX500" s="72">
        <f t="shared" ref="BX500:BX501" si="5064">M500</f>
        <v>250</v>
      </c>
      <c r="BY500" s="71" t="str">
        <f t="shared" ref="BY500:BY501" si="5065">Q500</f>
        <v>-</v>
      </c>
      <c r="BZ500" s="72">
        <f t="shared" ref="BZ500:BZ501" si="5066">U500</f>
        <v>299</v>
      </c>
      <c r="CA500" s="71" t="str">
        <f t="shared" ref="CA500:CA501" si="5067">Y500</f>
        <v>-</v>
      </c>
      <c r="CB500" s="72">
        <f t="shared" ref="CB500:CB501" si="5068">AC500</f>
        <v>343</v>
      </c>
      <c r="CC500" s="71">
        <f t="shared" ref="CC500:CC501" si="5069">AG500</f>
        <v>377</v>
      </c>
      <c r="CD500" s="72">
        <f t="shared" ref="CD500:CD501" si="5070">AK500</f>
        <v>383</v>
      </c>
      <c r="CE500" s="71">
        <f t="shared" ref="CE500:CE501" si="5071">AO500</f>
        <v>431</v>
      </c>
      <c r="CF500" s="72">
        <f t="shared" ref="CF500:CF501" si="5072">AS500</f>
        <v>473</v>
      </c>
      <c r="CG500" s="71">
        <f t="shared" ref="CG500:CG501" si="5073">AW500</f>
        <v>497</v>
      </c>
      <c r="CH500" s="70">
        <f t="shared" ref="CH500:CH501" si="5074">G500</f>
        <v>244</v>
      </c>
      <c r="CI500" s="71">
        <f t="shared" ref="CI500:CI501" si="5075">K500</f>
        <v>249</v>
      </c>
      <c r="CJ500" s="72">
        <f t="shared" ref="CJ500:CJ501" si="5076">O500</f>
        <v>276</v>
      </c>
      <c r="CK500" s="72" t="str">
        <f t="shared" ref="CK500:CK501" si="5077">S500</f>
        <v>-</v>
      </c>
      <c r="CL500" s="72">
        <f t="shared" ref="CL500:CL501" si="5078">W500</f>
        <v>332</v>
      </c>
      <c r="CM500" s="72" t="str">
        <f t="shared" ref="CM500:CM501" si="5079">AA500</f>
        <v>-</v>
      </c>
      <c r="CN500" s="72">
        <f t="shared" ref="CN500:CN501" si="5080">AE500</f>
        <v>366</v>
      </c>
      <c r="CO500" s="72">
        <f t="shared" ref="CO500:CO501" si="5081">AI500</f>
        <v>379</v>
      </c>
      <c r="CP500" s="72">
        <f t="shared" ref="CP500:CP501" si="5082">AM500</f>
        <v>420</v>
      </c>
      <c r="CQ500" s="72">
        <f t="shared" ref="CQ500:CQ501" si="5083">AQ500</f>
        <v>461</v>
      </c>
      <c r="CR500" s="72">
        <f t="shared" ref="CR500:CR501" si="5084">AU500</f>
        <v>496</v>
      </c>
      <c r="CS500" s="72">
        <f t="shared" ref="CS500:CS501" si="5085">AY500</f>
        <v>512</v>
      </c>
      <c r="CT500" s="23">
        <f t="shared" ref="CT500:CT501" si="5086">M500-K500</f>
        <v>1</v>
      </c>
      <c r="AMP500" s="3"/>
    </row>
    <row r="501" spans="1:1030" x14ac:dyDescent="0.2">
      <c r="A501" s="3" t="str">
        <f t="shared" ref="A501" si="5087">CONCATENATE(B501,"_",C501)</f>
        <v>fzd4_human_6BD4</v>
      </c>
      <c r="B501" s="3" t="s">
        <v>446</v>
      </c>
      <c r="C501" s="3" t="s">
        <v>1550</v>
      </c>
      <c r="D501" s="3" t="str">
        <f>IFERROR(MID(VLOOKUP($B501,Seqs!$A:$B,2,0),E501,1),"")</f>
        <v>S</v>
      </c>
      <c r="E501" s="3">
        <v>212</v>
      </c>
      <c r="F501" s="3" t="str">
        <f>IFERROR(MID(VLOOKUP($B501,Seqs!$A:$B,2,0),G501,1),"")</f>
        <v>D</v>
      </c>
      <c r="G501" s="3">
        <v>244</v>
      </c>
      <c r="H501" s="3" t="str">
        <f>IFERROR(MID(VLOOKUP($B501,Seqs!$A:$B,2,0),I501,1),"")</f>
        <v>S</v>
      </c>
      <c r="I501" s="23">
        <v>245</v>
      </c>
      <c r="J501" s="3" t="str">
        <f>IFERROR(MID(VLOOKUP($B501,Seqs!$A:$B,2,0),K501,1),"")</f>
        <v>S</v>
      </c>
      <c r="K501" s="23">
        <v>249</v>
      </c>
      <c r="L501" s="3" t="str">
        <f>IFERROR(MID(VLOOKUP($B501,Seqs!$A:$B,2,0),M501,1),"")</f>
        <v>Y</v>
      </c>
      <c r="M501" s="3">
        <v>250</v>
      </c>
      <c r="N501" s="3" t="str">
        <f>IFERROR(MID(VLOOKUP($B501,Seqs!$A:$B,2,0),O501,1),"")</f>
        <v>G</v>
      </c>
      <c r="O501" s="3">
        <v>276</v>
      </c>
      <c r="P501" s="3" t="str">
        <f>IFERROR(MID(VLOOKUP($B501,Seqs!$A:$B,2,0),Q501,1),"")</f>
        <v/>
      </c>
      <c r="Q501" s="3" t="s">
        <v>23</v>
      </c>
      <c r="R501" s="3" t="str">
        <f>IFERROR(MID(VLOOKUP($B501,Seqs!$A:$B,2,0),S501,1),"")</f>
        <v/>
      </c>
      <c r="S501" s="3" t="s">
        <v>23</v>
      </c>
      <c r="T501" s="3" t="str">
        <f>IFERROR(MID(VLOOKUP($B501,Seqs!$A:$B,2,0),U501,1),"")</f>
        <v>N</v>
      </c>
      <c r="U501" s="3">
        <v>299</v>
      </c>
      <c r="V501" s="3" t="str">
        <f>IFERROR(MID(VLOOKUP($B501,Seqs!$A:$B,2,0),W501,1),"")</f>
        <v>G</v>
      </c>
      <c r="W501" s="3">
        <v>332</v>
      </c>
      <c r="X501" s="3" t="str">
        <f>IFERROR(MID(VLOOKUP($B501,Seqs!$A:$B,2,0),Y501,1),"")</f>
        <v/>
      </c>
      <c r="Y501" s="3" t="s">
        <v>23</v>
      </c>
      <c r="Z501" s="3" t="str">
        <f>IFERROR(MID(VLOOKUP($B501,Seqs!$A:$B,2,0),AA501,1),"")</f>
        <v/>
      </c>
      <c r="AA501" s="3" t="s">
        <v>23</v>
      </c>
      <c r="AB501" s="3" t="str">
        <f>IFERROR(MID(VLOOKUP($B501,Seqs!$A:$B,2,0),AC501,1),"")</f>
        <v>H</v>
      </c>
      <c r="AC501" s="3">
        <v>343</v>
      </c>
      <c r="AD501" s="3" t="str">
        <f>IFERROR(MID(VLOOKUP($B501,Seqs!$A:$B,2,0),AE501,1),"")</f>
        <v>R</v>
      </c>
      <c r="AE501" s="3">
        <v>366</v>
      </c>
      <c r="AF501" s="3" t="str">
        <f>IFERROR(MID(VLOOKUP($B501,Seqs!$A:$B,2,0),AG501,1),"")</f>
        <v>C</v>
      </c>
      <c r="AG501" s="3">
        <v>377</v>
      </c>
      <c r="AH501" s="3" t="str">
        <f>IFERROR(MID(VLOOKUP($B501,Seqs!$A:$B,2,0),AI501,1),"")</f>
        <v>V</v>
      </c>
      <c r="AI501" s="3">
        <v>379</v>
      </c>
      <c r="AJ501" s="3" t="str">
        <f>IFERROR(MID(VLOOKUP($B501,Seqs!$A:$B,2,0),AK501,1),"")</f>
        <v>N</v>
      </c>
      <c r="AK501" s="3">
        <v>383</v>
      </c>
      <c r="AL501" s="3" t="str">
        <f>IFERROR(MID(VLOOKUP($B501,Seqs!$A:$B,2,0),AM501,1),"")</f>
        <v>S</v>
      </c>
      <c r="AM501" s="3">
        <v>418</v>
      </c>
      <c r="AN501" s="3" t="str">
        <f>IFERROR(MID(VLOOKUP($B501,Seqs!$A:$B,2,0),AO501,1),"")</f>
        <v>E</v>
      </c>
      <c r="AO501" s="3">
        <v>431</v>
      </c>
      <c r="AP501" s="3" t="str">
        <f>IFERROR(MID(VLOOKUP($B501,Seqs!$A:$B,2,0),AQ501,1),"")</f>
        <v>N</v>
      </c>
      <c r="AQ501" s="3">
        <v>461</v>
      </c>
      <c r="AR501" s="3" t="str">
        <f>IFERROR(MID(VLOOKUP($B501,Seqs!$A:$B,2,0),AS501,1),"")</f>
        <v>N</v>
      </c>
      <c r="AS501" s="3">
        <v>473</v>
      </c>
      <c r="AT501" s="3" t="str">
        <f>IFERROR(MID(VLOOKUP($B501,Seqs!$A:$B,2,0),AU501,1),"")</f>
        <v>W</v>
      </c>
      <c r="AU501" s="3">
        <v>496</v>
      </c>
      <c r="AV501" s="3" t="str">
        <f>IFERROR(MID(VLOOKUP($B501,Seqs!$A:$B,2,0),AW501,1),"")</f>
        <v>S</v>
      </c>
      <c r="AW501" s="3">
        <v>497</v>
      </c>
      <c r="AX501" s="3" t="str">
        <f>IFERROR(MID(VLOOKUP($B501,Seqs!$A:$B,2,0),AY501,1),"")</f>
        <v>V</v>
      </c>
      <c r="AY501" s="3">
        <v>512</v>
      </c>
      <c r="AZ501" s="77" t="str">
        <f>VLOOKUP(B501,Classification!A:D,2,0)</f>
        <v>F</v>
      </c>
      <c r="BA501" s="94" t="str">
        <f>VLOOKUP(B501,Classification!A:D,4,0)</f>
        <v>Frizzled</v>
      </c>
      <c r="BB501" s="27" t="b">
        <f t="shared" si="5060"/>
        <v>1</v>
      </c>
      <c r="BC501" s="23">
        <f t="shared" si="5061"/>
        <v>235</v>
      </c>
      <c r="BD501" s="4" t="s">
        <v>1372</v>
      </c>
      <c r="BE501" s="3" t="s">
        <v>1370</v>
      </c>
      <c r="BF501" s="118">
        <v>2.4</v>
      </c>
      <c r="BG501" s="49" t="s">
        <v>1</v>
      </c>
      <c r="BH501" s="49" t="s">
        <v>1</v>
      </c>
      <c r="BJ501" s="70" t="s">
        <v>1283</v>
      </c>
      <c r="BK501" s="57" t="s">
        <v>1283</v>
      </c>
      <c r="BL501" s="57" t="s">
        <v>1283</v>
      </c>
      <c r="BM501" s="57" t="s">
        <v>1283</v>
      </c>
      <c r="BN501" s="57" t="s">
        <v>1283</v>
      </c>
      <c r="BO501" s="57" t="s">
        <v>1283</v>
      </c>
      <c r="BP501" s="57" t="s">
        <v>1283</v>
      </c>
      <c r="BQ501" s="57" t="s">
        <v>1283</v>
      </c>
      <c r="BR501" s="57" t="s">
        <v>1283</v>
      </c>
      <c r="BS501" s="57" t="s">
        <v>1283</v>
      </c>
      <c r="BT501" s="57" t="s">
        <v>1283</v>
      </c>
      <c r="BU501" s="57" t="s">
        <v>1283</v>
      </c>
      <c r="BV501" s="70">
        <f t="shared" si="5062"/>
        <v>212</v>
      </c>
      <c r="BW501" s="71">
        <f t="shared" si="5063"/>
        <v>245</v>
      </c>
      <c r="BX501" s="72">
        <f t="shared" si="5064"/>
        <v>250</v>
      </c>
      <c r="BY501" s="71" t="str">
        <f t="shared" si="5065"/>
        <v>-</v>
      </c>
      <c r="BZ501" s="72">
        <f t="shared" si="5066"/>
        <v>299</v>
      </c>
      <c r="CA501" s="71" t="str">
        <f t="shared" si="5067"/>
        <v>-</v>
      </c>
      <c r="CB501" s="72">
        <f t="shared" si="5068"/>
        <v>343</v>
      </c>
      <c r="CC501" s="71">
        <f t="shared" si="5069"/>
        <v>377</v>
      </c>
      <c r="CD501" s="72">
        <f t="shared" si="5070"/>
        <v>383</v>
      </c>
      <c r="CE501" s="71">
        <f t="shared" si="5071"/>
        <v>431</v>
      </c>
      <c r="CF501" s="72">
        <f t="shared" si="5072"/>
        <v>473</v>
      </c>
      <c r="CG501" s="71">
        <f t="shared" si="5073"/>
        <v>497</v>
      </c>
      <c r="CH501" s="70">
        <f t="shared" si="5074"/>
        <v>244</v>
      </c>
      <c r="CI501" s="71">
        <f t="shared" si="5075"/>
        <v>249</v>
      </c>
      <c r="CJ501" s="72">
        <f t="shared" si="5076"/>
        <v>276</v>
      </c>
      <c r="CK501" s="72" t="str">
        <f t="shared" si="5077"/>
        <v>-</v>
      </c>
      <c r="CL501" s="72">
        <f t="shared" si="5078"/>
        <v>332</v>
      </c>
      <c r="CM501" s="72" t="str">
        <f t="shared" si="5079"/>
        <v>-</v>
      </c>
      <c r="CN501" s="72">
        <f t="shared" si="5080"/>
        <v>366</v>
      </c>
      <c r="CO501" s="72">
        <f t="shared" si="5081"/>
        <v>379</v>
      </c>
      <c r="CP501" s="72">
        <f t="shared" si="5082"/>
        <v>418</v>
      </c>
      <c r="CQ501" s="72">
        <f t="shared" si="5083"/>
        <v>461</v>
      </c>
      <c r="CR501" s="72">
        <f t="shared" si="5084"/>
        <v>496</v>
      </c>
      <c r="CS501" s="72">
        <f t="shared" si="5085"/>
        <v>512</v>
      </c>
      <c r="CT501" s="23">
        <f t="shared" si="5086"/>
        <v>1</v>
      </c>
      <c r="AMP501" s="3"/>
    </row>
    <row r="502" spans="1:1030" x14ac:dyDescent="0.2">
      <c r="A502" s="3" t="str">
        <f t="shared" si="4218"/>
        <v>smo_human__wt</v>
      </c>
      <c r="B502" s="3" t="s">
        <v>33</v>
      </c>
      <c r="C502" s="3" t="s">
        <v>100</v>
      </c>
      <c r="D502" s="3" t="str">
        <f>IFERROR(MID(VLOOKUP($B502,Seqs!$A:$B,2,0),E502,1),"")</f>
        <v>T</v>
      </c>
      <c r="E502" s="105">
        <v>223</v>
      </c>
      <c r="F502" s="3" t="str">
        <f>IFERROR(MID(VLOOKUP($B502,Seqs!$A:$B,2,0),G502,1),"")</f>
        <v>D</v>
      </c>
      <c r="G502" s="3">
        <v>255</v>
      </c>
      <c r="H502" s="3" t="str">
        <f>IFERROR(MID(VLOOKUP($B502,Seqs!$A:$B,2,0),I502,1),"")</f>
        <v>W</v>
      </c>
      <c r="I502" s="23">
        <v>256</v>
      </c>
      <c r="J502" s="3" t="str">
        <f>IFERROR(MID(VLOOKUP($B502,Seqs!$A:$B,2,0),K502,1),"")</f>
        <v>N</v>
      </c>
      <c r="K502" s="23">
        <v>260</v>
      </c>
      <c r="L502" s="3" t="str">
        <f>IFERROR(MID(VLOOKUP($B502,Seqs!$A:$B,2,0),M502,1),"")</f>
        <v>R</v>
      </c>
      <c r="M502" s="3">
        <v>261</v>
      </c>
      <c r="N502" s="3" t="str">
        <f>IFERROR(MID(VLOOKUP($B502,Seqs!$A:$B,2,0),O502,1),"")</f>
        <v>F</v>
      </c>
      <c r="O502" s="3">
        <v>285</v>
      </c>
      <c r="P502" s="3" t="str">
        <f>IFERROR(MID(VLOOKUP($B502,Seqs!$A:$B,2,0),Q502,1),"")</f>
        <v/>
      </c>
      <c r="Q502" s="3" t="s">
        <v>23</v>
      </c>
      <c r="R502" s="3" t="str">
        <f>IFERROR(MID(VLOOKUP($B502,Seqs!$A:$B,2,0),S502,1),"")</f>
        <v/>
      </c>
      <c r="S502" s="3" t="s">
        <v>23</v>
      </c>
      <c r="T502" s="3" t="str">
        <f>IFERROR(MID(VLOOKUP($B502,Seqs!$A:$B,2,0),U502,1),"")</f>
        <v>L</v>
      </c>
      <c r="U502" s="3">
        <v>312</v>
      </c>
      <c r="V502" s="3" t="str">
        <f>IFERROR(MID(VLOOKUP($B502,Seqs!$A:$B,2,0),W502,1),"")</f>
        <v>A</v>
      </c>
      <c r="W502" s="105">
        <v>345</v>
      </c>
      <c r="X502" s="3" t="str">
        <f>IFERROR(MID(VLOOKUP($B502,Seqs!$A:$B,2,0),Y502,1),"")</f>
        <v/>
      </c>
      <c r="Y502" s="3" t="s">
        <v>23</v>
      </c>
      <c r="Z502" s="3" t="str">
        <f>IFERROR(MID(VLOOKUP($B502,Seqs!$A:$B,2,0),AA502,1),"")</f>
        <v/>
      </c>
      <c r="AA502" s="3" t="s">
        <v>23</v>
      </c>
      <c r="AB502" s="3" t="str">
        <f>IFERROR(MID(VLOOKUP($B502,Seqs!$A:$B,2,0),AC502,1),"")</f>
        <v>K</v>
      </c>
      <c r="AC502" s="9">
        <v>356</v>
      </c>
      <c r="AD502" s="3" t="str">
        <f>IFERROR(MID(VLOOKUP($B502,Seqs!$A:$B,2,0),AE502,1),"")</f>
        <v>A</v>
      </c>
      <c r="AE502" s="105">
        <v>379</v>
      </c>
      <c r="AF502" s="3" t="str">
        <f>IFERROR(MID(VLOOKUP($B502,Seqs!$A:$B,2,0),AG502,1),"")</f>
        <v>C</v>
      </c>
      <c r="AG502" s="3">
        <v>390</v>
      </c>
      <c r="AH502" s="3" t="str">
        <f>IFERROR(MID(VLOOKUP($B502,Seqs!$A:$B,2,0),AI502,1),"")</f>
        <v>V</v>
      </c>
      <c r="AI502" s="3">
        <v>392</v>
      </c>
      <c r="AJ502" s="3" t="str">
        <f>IFERROR(MID(VLOOKUP($B502,Seqs!$A:$B,2,0),AK502,1),"")</f>
        <v>N</v>
      </c>
      <c r="AK502" s="105">
        <v>396</v>
      </c>
      <c r="AL502" s="3" t="str">
        <f>IFERROR(MID(VLOOKUP($B502,Seqs!$A:$B,2,0),AM502,1),"")</f>
        <v>H</v>
      </c>
      <c r="AM502" s="3">
        <v>433</v>
      </c>
      <c r="AN502" s="3" t="str">
        <f>IFERROR(MID(VLOOKUP($B502,Seqs!$A:$B,2,0),AO502,1),"")</f>
        <v>S</v>
      </c>
      <c r="AO502" s="105">
        <v>438</v>
      </c>
      <c r="AP502" s="3" t="str">
        <f>IFERROR(MID(VLOOKUP($B502,Seqs!$A:$B,2,0),AQ502,1),"")</f>
        <v>I</v>
      </c>
      <c r="AQ502" s="3">
        <v>496</v>
      </c>
      <c r="AR502" s="3" t="str">
        <f>IFERROR(MID(VLOOKUP($B502,Seqs!$A:$B,2,0),AS502,1),"")</f>
        <v>S</v>
      </c>
      <c r="AS502" s="105">
        <v>514</v>
      </c>
      <c r="AT502" s="3" t="str">
        <f>IFERROR(MID(VLOOKUP($B502,Seqs!$A:$B,2,0),AU502,1),"")</f>
        <v>W</v>
      </c>
      <c r="AU502" s="3">
        <v>537</v>
      </c>
      <c r="AV502" s="3" t="str">
        <f>IFERROR(MID(VLOOKUP($B502,Seqs!$A:$B,2,0),AW502,1),"")</f>
        <v>T</v>
      </c>
      <c r="AW502" s="3">
        <v>538</v>
      </c>
      <c r="AX502" s="3" t="str">
        <f>IFERROR(MID(VLOOKUP($B502,Seqs!$A:$B,2,0),AY502,1),"")</f>
        <v>T</v>
      </c>
      <c r="AY502" s="3">
        <v>553</v>
      </c>
      <c r="AZ502" s="77" t="str">
        <f>VLOOKUP(B502,Classification!A:D,2,0)</f>
        <v>F</v>
      </c>
      <c r="BA502" s="94" t="str">
        <f>VLOOKUP(B502,Classification!A:D,4,0)</f>
        <v>Frizzled</v>
      </c>
      <c r="BB502" s="27" t="b">
        <f t="shared" si="4219"/>
        <v>1</v>
      </c>
      <c r="BC502" s="23">
        <f t="shared" si="4108"/>
        <v>263</v>
      </c>
      <c r="BD502" s="56" t="s">
        <v>23</v>
      </c>
      <c r="BE502" s="3" t="s">
        <v>23</v>
      </c>
      <c r="BF502" s="118" t="s">
        <v>23</v>
      </c>
      <c r="BG502" s="49" t="s">
        <v>1368</v>
      </c>
      <c r="BH502" s="49" t="s">
        <v>1373</v>
      </c>
      <c r="BJ502" s="70" t="s">
        <v>1283</v>
      </c>
      <c r="BK502" s="57" t="s">
        <v>1283</v>
      </c>
      <c r="BL502" s="57" t="s">
        <v>1283</v>
      </c>
      <c r="BM502" s="57" t="s">
        <v>1283</v>
      </c>
      <c r="BN502" s="57" t="s">
        <v>1283</v>
      </c>
      <c r="BO502" s="57" t="s">
        <v>1283</v>
      </c>
      <c r="BP502" s="57" t="s">
        <v>1283</v>
      </c>
      <c r="BQ502" s="57" t="s">
        <v>1283</v>
      </c>
      <c r="BR502" s="57" t="s">
        <v>1283</v>
      </c>
      <c r="BS502" s="57" t="s">
        <v>1283</v>
      </c>
      <c r="BT502" s="57" t="s">
        <v>1283</v>
      </c>
      <c r="BU502" s="57" t="s">
        <v>1283</v>
      </c>
      <c r="BV502" s="70">
        <f t="shared" si="4109"/>
        <v>223</v>
      </c>
      <c r="BW502" s="71">
        <f t="shared" si="4110"/>
        <v>256</v>
      </c>
      <c r="BX502" s="72">
        <f t="shared" si="4111"/>
        <v>261</v>
      </c>
      <c r="BY502" s="71" t="str">
        <f t="shared" si="4112"/>
        <v>-</v>
      </c>
      <c r="BZ502" s="72">
        <f t="shared" si="4113"/>
        <v>312</v>
      </c>
      <c r="CA502" s="71" t="str">
        <f t="shared" si="4114"/>
        <v>-</v>
      </c>
      <c r="CB502" s="72">
        <f t="shared" si="4115"/>
        <v>356</v>
      </c>
      <c r="CC502" s="71">
        <f t="shared" si="4116"/>
        <v>390</v>
      </c>
      <c r="CD502" s="72">
        <f t="shared" si="4117"/>
        <v>396</v>
      </c>
      <c r="CE502" s="71">
        <f t="shared" si="4118"/>
        <v>438</v>
      </c>
      <c r="CF502" s="72">
        <f t="shared" si="4119"/>
        <v>514</v>
      </c>
      <c r="CG502" s="71">
        <f t="shared" si="4120"/>
        <v>538</v>
      </c>
      <c r="CH502" s="70">
        <f t="shared" si="4121"/>
        <v>255</v>
      </c>
      <c r="CI502" s="71">
        <f t="shared" si="4122"/>
        <v>260</v>
      </c>
      <c r="CJ502" s="72">
        <f t="shared" si="4123"/>
        <v>285</v>
      </c>
      <c r="CK502" s="72" t="str">
        <f t="shared" si="4124"/>
        <v>-</v>
      </c>
      <c r="CL502" s="72">
        <f t="shared" si="4125"/>
        <v>345</v>
      </c>
      <c r="CM502" s="72" t="str">
        <f t="shared" si="4126"/>
        <v>-</v>
      </c>
      <c r="CN502" s="72">
        <f t="shared" si="4127"/>
        <v>379</v>
      </c>
      <c r="CO502" s="72">
        <f t="shared" si="4128"/>
        <v>392</v>
      </c>
      <c r="CP502" s="72">
        <f t="shared" si="4129"/>
        <v>433</v>
      </c>
      <c r="CQ502" s="72">
        <f t="shared" si="4130"/>
        <v>496</v>
      </c>
      <c r="CR502" s="72">
        <f t="shared" si="4131"/>
        <v>537</v>
      </c>
      <c r="CS502" s="72">
        <f t="shared" si="4132"/>
        <v>553</v>
      </c>
      <c r="CT502" s="23">
        <f t="shared" si="4133"/>
        <v>1</v>
      </c>
    </row>
    <row r="503" spans="1:1030" x14ac:dyDescent="0.2">
      <c r="A503" s="3" t="str">
        <f t="shared" si="4218"/>
        <v>smo_human_4JKV</v>
      </c>
      <c r="B503" s="3" t="s">
        <v>33</v>
      </c>
      <c r="C503" s="3" t="s">
        <v>86</v>
      </c>
      <c r="D503" s="3" t="str">
        <f>IFERROR(MID(VLOOKUP($B503,Seqs!$A:$B,2,0),E503,1),"")</f>
        <v>T</v>
      </c>
      <c r="E503" s="105">
        <v>223</v>
      </c>
      <c r="F503" s="3" t="str">
        <f>IFERROR(MID(VLOOKUP($B503,Seqs!$A:$B,2,0),G503,1),"")</f>
        <v>D</v>
      </c>
      <c r="G503" s="3">
        <v>255</v>
      </c>
      <c r="H503" s="3" t="str">
        <f>IFERROR(MID(VLOOKUP($B503,Seqs!$A:$B,2,0),I503,1),"")</f>
        <v>W</v>
      </c>
      <c r="I503" s="23">
        <v>256</v>
      </c>
      <c r="J503" s="3" t="str">
        <f>IFERROR(MID(VLOOKUP($B503,Seqs!$A:$B,2,0),K503,1),"")</f>
        <v>N</v>
      </c>
      <c r="K503" s="23">
        <v>260</v>
      </c>
      <c r="L503" s="3" t="str">
        <f>IFERROR(MID(VLOOKUP($B503,Seqs!$A:$B,2,0),M503,1),"")</f>
        <v>R</v>
      </c>
      <c r="M503" s="3">
        <v>261</v>
      </c>
      <c r="N503" s="3" t="str">
        <f>IFERROR(MID(VLOOKUP($B503,Seqs!$A:$B,2,0),O503,1),"")</f>
        <v>F</v>
      </c>
      <c r="O503" s="3">
        <v>285</v>
      </c>
      <c r="P503" s="3" t="str">
        <f>IFERROR(MID(VLOOKUP($B503,Seqs!$A:$B,2,0),Q503,1),"")</f>
        <v/>
      </c>
      <c r="Q503" s="3" t="s">
        <v>23</v>
      </c>
      <c r="R503" s="3" t="str">
        <f>IFERROR(MID(VLOOKUP($B503,Seqs!$A:$B,2,0),S503,1),"")</f>
        <v/>
      </c>
      <c r="S503" s="3" t="s">
        <v>23</v>
      </c>
      <c r="T503" s="3" t="str">
        <f>IFERROR(MID(VLOOKUP($B503,Seqs!$A:$B,2,0),U503,1),"")</f>
        <v>L</v>
      </c>
      <c r="U503" s="3">
        <v>312</v>
      </c>
      <c r="V503" s="3" t="str">
        <f>IFERROR(MID(VLOOKUP($B503,Seqs!$A:$B,2,0),W503,1),"")</f>
        <v>T</v>
      </c>
      <c r="W503" s="3">
        <v>348</v>
      </c>
      <c r="X503" s="3" t="str">
        <f>IFERROR(MID(VLOOKUP($B503,Seqs!$A:$B,2,0),Y503,1),"")</f>
        <v/>
      </c>
      <c r="Y503" s="3" t="s">
        <v>23</v>
      </c>
      <c r="Z503" s="3" t="str">
        <f>IFERROR(MID(VLOOKUP($B503,Seqs!$A:$B,2,0),AA503,1),"")</f>
        <v/>
      </c>
      <c r="AA503" s="3" t="s">
        <v>23</v>
      </c>
      <c r="AB503" s="3" t="str">
        <f>IFERROR(MID(VLOOKUP($B503,Seqs!$A:$B,2,0),AC503,1),"")</f>
        <v>F</v>
      </c>
      <c r="AC503" s="9">
        <v>360</v>
      </c>
      <c r="AD503" s="3" t="str">
        <f>IFERROR(MID(VLOOKUP($B503,Seqs!$A:$B,2,0),AE503,1),"")</f>
        <v>A</v>
      </c>
      <c r="AE503" s="3">
        <v>379</v>
      </c>
      <c r="AF503" s="3" t="str">
        <f>IFERROR(MID(VLOOKUP($B503,Seqs!$A:$B,2,0),AG503,1),"")</f>
        <v>C</v>
      </c>
      <c r="AG503" s="3">
        <v>390</v>
      </c>
      <c r="AH503" s="3" t="str">
        <f>IFERROR(MID(VLOOKUP($B503,Seqs!$A:$B,2,0),AI503,1),"")</f>
        <v>V</v>
      </c>
      <c r="AI503" s="3">
        <v>392</v>
      </c>
      <c r="AJ503" s="3" t="str">
        <f>IFERROR(MID(VLOOKUP($B503,Seqs!$A:$B,2,0),AK503,1),"")</f>
        <v>N</v>
      </c>
      <c r="AK503" s="105">
        <v>396</v>
      </c>
      <c r="AL503" s="3" t="str">
        <f>IFERROR(MID(VLOOKUP($B503,Seqs!$A:$B,2,0),AM503,1),"")</f>
        <v>H</v>
      </c>
      <c r="AM503" s="3">
        <v>433</v>
      </c>
      <c r="AN503" s="3" t="str">
        <f>IFERROR(MID(VLOOKUP($B503,Seqs!$A:$B,2,0),AO503,1),"")</f>
        <v>A</v>
      </c>
      <c r="AO503" s="3">
        <v>442</v>
      </c>
      <c r="AP503" s="3" t="str">
        <f>IFERROR(MID(VLOOKUP($B503,Seqs!$A:$B,2,0),AQ503,1),"")</f>
        <v>N</v>
      </c>
      <c r="AQ503" s="3">
        <v>493</v>
      </c>
      <c r="AR503" s="3" t="str">
        <f>IFERROR(MID(VLOOKUP($B503,Seqs!$A:$B,2,0),AS503,1),"")</f>
        <v>S</v>
      </c>
      <c r="AS503" s="105">
        <v>514</v>
      </c>
      <c r="AT503" s="3" t="str">
        <f>IFERROR(MID(VLOOKUP($B503,Seqs!$A:$B,2,0),AU503,1),"")</f>
        <v>W</v>
      </c>
      <c r="AU503" s="3">
        <v>537</v>
      </c>
      <c r="AV503" s="3" t="str">
        <f>IFERROR(MID(VLOOKUP($B503,Seqs!$A:$B,2,0),AW503,1),"")</f>
        <v>T</v>
      </c>
      <c r="AW503" s="3">
        <v>538</v>
      </c>
      <c r="AX503" s="3" t="str">
        <f>IFERROR(MID(VLOOKUP($B503,Seqs!$A:$B,2,0),AY503,1),"")</f>
        <v>C</v>
      </c>
      <c r="AY503" s="3">
        <v>550</v>
      </c>
      <c r="AZ503" s="77" t="str">
        <f>VLOOKUP(B503,Classification!A:D,2,0)</f>
        <v>F</v>
      </c>
      <c r="BA503" s="94" t="str">
        <f>VLOOKUP(B503,Classification!A:D,4,0)</f>
        <v>Frizzled</v>
      </c>
      <c r="BB503" s="27" t="b">
        <f t="shared" si="4219"/>
        <v>1</v>
      </c>
      <c r="BC503" s="23">
        <f t="shared" si="4108"/>
        <v>252</v>
      </c>
      <c r="BD503" s="4" t="s">
        <v>23</v>
      </c>
      <c r="BE503" s="3" t="s">
        <v>1370</v>
      </c>
      <c r="BF503" s="118">
        <v>2.4500000000000002</v>
      </c>
      <c r="BG503" s="49" t="s">
        <v>1373</v>
      </c>
      <c r="BH503" s="49" t="s">
        <v>1373</v>
      </c>
      <c r="BJ503" s="70" t="s">
        <v>1283</v>
      </c>
      <c r="BK503" s="57" t="s">
        <v>1283</v>
      </c>
      <c r="BL503" s="57" t="s">
        <v>1283</v>
      </c>
      <c r="BM503" s="57" t="s">
        <v>1283</v>
      </c>
      <c r="BN503" s="57" t="s">
        <v>1283</v>
      </c>
      <c r="BO503" s="57" t="s">
        <v>1283</v>
      </c>
      <c r="BP503" s="57" t="s">
        <v>1283</v>
      </c>
      <c r="BQ503" s="57" t="s">
        <v>1283</v>
      </c>
      <c r="BR503" s="57" t="s">
        <v>1283</v>
      </c>
      <c r="BS503" s="57" t="s">
        <v>1283</v>
      </c>
      <c r="BT503" s="57" t="s">
        <v>1283</v>
      </c>
      <c r="BU503" s="57" t="s">
        <v>1283</v>
      </c>
      <c r="BV503" s="70">
        <f t="shared" si="4109"/>
        <v>223</v>
      </c>
      <c r="BW503" s="71">
        <f t="shared" si="4110"/>
        <v>256</v>
      </c>
      <c r="BX503" s="72">
        <f t="shared" si="4111"/>
        <v>261</v>
      </c>
      <c r="BY503" s="71" t="str">
        <f t="shared" si="4112"/>
        <v>-</v>
      </c>
      <c r="BZ503" s="72">
        <f t="shared" si="4113"/>
        <v>312</v>
      </c>
      <c r="CA503" s="71" t="str">
        <f t="shared" si="4114"/>
        <v>-</v>
      </c>
      <c r="CB503" s="72">
        <f t="shared" si="4115"/>
        <v>360</v>
      </c>
      <c r="CC503" s="71">
        <f t="shared" si="4116"/>
        <v>390</v>
      </c>
      <c r="CD503" s="72">
        <f t="shared" si="4117"/>
        <v>396</v>
      </c>
      <c r="CE503" s="71">
        <f t="shared" si="4118"/>
        <v>442</v>
      </c>
      <c r="CF503" s="72">
        <f t="shared" si="4119"/>
        <v>514</v>
      </c>
      <c r="CG503" s="71">
        <f t="shared" si="4120"/>
        <v>538</v>
      </c>
      <c r="CH503" s="70">
        <f t="shared" si="4121"/>
        <v>255</v>
      </c>
      <c r="CI503" s="71">
        <f t="shared" si="4122"/>
        <v>260</v>
      </c>
      <c r="CJ503" s="72">
        <f t="shared" si="4123"/>
        <v>285</v>
      </c>
      <c r="CK503" s="72" t="str">
        <f t="shared" si="4124"/>
        <v>-</v>
      </c>
      <c r="CL503" s="72">
        <f t="shared" si="4125"/>
        <v>348</v>
      </c>
      <c r="CM503" s="72" t="str">
        <f t="shared" si="4126"/>
        <v>-</v>
      </c>
      <c r="CN503" s="72">
        <f t="shared" si="4127"/>
        <v>379</v>
      </c>
      <c r="CO503" s="72">
        <f t="shared" si="4128"/>
        <v>392</v>
      </c>
      <c r="CP503" s="72">
        <f t="shared" si="4129"/>
        <v>433</v>
      </c>
      <c r="CQ503" s="72">
        <f t="shared" si="4130"/>
        <v>493</v>
      </c>
      <c r="CR503" s="72">
        <f t="shared" si="4131"/>
        <v>537</v>
      </c>
      <c r="CS503" s="72">
        <f t="shared" si="4132"/>
        <v>550</v>
      </c>
      <c r="CT503" s="23">
        <f t="shared" si="4133"/>
        <v>1</v>
      </c>
    </row>
    <row r="504" spans="1:1030" x14ac:dyDescent="0.2">
      <c r="A504" s="3" t="str">
        <f t="shared" si="4218"/>
        <v>smo_human_4N4W</v>
      </c>
      <c r="B504" s="3" t="s">
        <v>33</v>
      </c>
      <c r="C504" s="3" t="s">
        <v>1043</v>
      </c>
      <c r="D504" s="3" t="str">
        <f>IFERROR(MID(VLOOKUP($B504,Seqs!$A:$B,2,0),E504,1),"")</f>
        <v>T</v>
      </c>
      <c r="E504" s="105">
        <v>223</v>
      </c>
      <c r="F504" s="3" t="str">
        <f>IFERROR(MID(VLOOKUP($B504,Seqs!$A:$B,2,0),G504,1),"")</f>
        <v>D</v>
      </c>
      <c r="G504" s="3">
        <v>255</v>
      </c>
      <c r="H504" s="3" t="str">
        <f>IFERROR(MID(VLOOKUP($B504,Seqs!$A:$B,2,0),I504,1),"")</f>
        <v>W</v>
      </c>
      <c r="I504" s="23">
        <v>256</v>
      </c>
      <c r="J504" s="3" t="str">
        <f>IFERROR(MID(VLOOKUP($B504,Seqs!$A:$B,2,0),K504,1),"")</f>
        <v>N</v>
      </c>
      <c r="K504" s="23">
        <v>260</v>
      </c>
      <c r="L504" s="3" t="str">
        <f>IFERROR(MID(VLOOKUP($B504,Seqs!$A:$B,2,0),M504,1),"")</f>
        <v>R</v>
      </c>
      <c r="M504" s="3">
        <v>261</v>
      </c>
      <c r="N504" s="3" t="str">
        <f>IFERROR(MID(VLOOKUP($B504,Seqs!$A:$B,2,0),O504,1),"")</f>
        <v>F</v>
      </c>
      <c r="O504" s="3">
        <v>285</v>
      </c>
      <c r="P504" s="3" t="str">
        <f>IFERROR(MID(VLOOKUP($B504,Seqs!$A:$B,2,0),Q504,1),"")</f>
        <v/>
      </c>
      <c r="Q504" s="3" t="s">
        <v>23</v>
      </c>
      <c r="R504" s="3" t="str">
        <f>IFERROR(MID(VLOOKUP($B504,Seqs!$A:$B,2,0),S504,1),"")</f>
        <v/>
      </c>
      <c r="S504" s="3" t="s">
        <v>23</v>
      </c>
      <c r="T504" s="3" t="str">
        <f>IFERROR(MID(VLOOKUP($B504,Seqs!$A:$B,2,0),U504,1),"")</f>
        <v>L</v>
      </c>
      <c r="U504" s="3">
        <v>312</v>
      </c>
      <c r="V504" s="3" t="str">
        <f>IFERROR(MID(VLOOKUP($B504,Seqs!$A:$B,2,0),W504,1),"")</f>
        <v>A</v>
      </c>
      <c r="W504" s="3">
        <v>345</v>
      </c>
      <c r="X504" s="3" t="str">
        <f>IFERROR(MID(VLOOKUP($B504,Seqs!$A:$B,2,0),Y504,1),"")</f>
        <v/>
      </c>
      <c r="Y504" s="3" t="s">
        <v>23</v>
      </c>
      <c r="Z504" s="3" t="str">
        <f>IFERROR(MID(VLOOKUP($B504,Seqs!$A:$B,2,0),AA504,1),"")</f>
        <v/>
      </c>
      <c r="AA504" s="3" t="s">
        <v>23</v>
      </c>
      <c r="AB504" s="3" t="str">
        <f>IFERROR(MID(VLOOKUP($B504,Seqs!$A:$B,2,0),AC504,1),"")</f>
        <v>K</v>
      </c>
      <c r="AC504" s="9">
        <v>356</v>
      </c>
      <c r="AD504" s="3" t="str">
        <f>IFERROR(MID(VLOOKUP($B504,Seqs!$A:$B,2,0),AE504,1),"")</f>
        <v>V</v>
      </c>
      <c r="AE504" s="3">
        <v>378</v>
      </c>
      <c r="AF504" s="3" t="str">
        <f>IFERROR(MID(VLOOKUP($B504,Seqs!$A:$B,2,0),AG504,1),"")</f>
        <v>C</v>
      </c>
      <c r="AG504" s="3">
        <v>390</v>
      </c>
      <c r="AH504" s="3" t="str">
        <f>IFERROR(MID(VLOOKUP($B504,Seqs!$A:$B,2,0),AI504,1),"")</f>
        <v>V</v>
      </c>
      <c r="AI504" s="3">
        <v>392</v>
      </c>
      <c r="AJ504" s="3" t="str">
        <f>IFERROR(MID(VLOOKUP($B504,Seqs!$A:$B,2,0),AK504,1),"")</f>
        <v>N</v>
      </c>
      <c r="AK504" s="105">
        <v>396</v>
      </c>
      <c r="AL504" s="3" t="str">
        <f>IFERROR(MID(VLOOKUP($B504,Seqs!$A:$B,2,0),AM504,1),"")</f>
        <v>H</v>
      </c>
      <c r="AM504" s="3">
        <v>433</v>
      </c>
      <c r="AN504" s="3" t="str">
        <f>IFERROR(MID(VLOOKUP($B504,Seqs!$A:$B,2,0),AO504,1),"")</f>
        <v>S</v>
      </c>
      <c r="AO504" s="3">
        <v>443</v>
      </c>
      <c r="AP504" s="3" t="str">
        <f>IFERROR(MID(VLOOKUP($B504,Seqs!$A:$B,2,0),AQ504,1),"")</f>
        <v>Q</v>
      </c>
      <c r="AQ504" s="3">
        <v>491</v>
      </c>
      <c r="AR504" s="3" t="str">
        <f>IFERROR(MID(VLOOKUP($B504,Seqs!$A:$B,2,0),AS504,1),"")</f>
        <v>S</v>
      </c>
      <c r="AS504" s="105">
        <v>514</v>
      </c>
      <c r="AT504" s="3" t="str">
        <f>IFERROR(MID(VLOOKUP($B504,Seqs!$A:$B,2,0),AU504,1),"")</f>
        <v>W</v>
      </c>
      <c r="AU504" s="3">
        <v>537</v>
      </c>
      <c r="AV504" s="3" t="str">
        <f>IFERROR(MID(VLOOKUP($B504,Seqs!$A:$B,2,0),AW504,1),"")</f>
        <v>T</v>
      </c>
      <c r="AW504" s="3">
        <v>538</v>
      </c>
      <c r="AX504" s="3" t="str">
        <f>IFERROR(MID(VLOOKUP($B504,Seqs!$A:$B,2,0),AY504,1),"")</f>
        <v>L</v>
      </c>
      <c r="AY504" s="3">
        <v>552</v>
      </c>
      <c r="AZ504" s="77" t="str">
        <f>VLOOKUP(B504,Classification!A:D,2,0)</f>
        <v>F</v>
      </c>
      <c r="BA504" s="94" t="str">
        <f>VLOOKUP(B504,Classification!A:D,4,0)</f>
        <v>Frizzled</v>
      </c>
      <c r="BB504" s="27" t="b">
        <f t="shared" si="4219"/>
        <v>1</v>
      </c>
      <c r="BC504" s="23">
        <f t="shared" si="4108"/>
        <v>251</v>
      </c>
      <c r="BD504" s="2" t="s">
        <v>23</v>
      </c>
      <c r="BE504" s="3" t="s">
        <v>1370</v>
      </c>
      <c r="BF504" s="118">
        <v>2.8</v>
      </c>
      <c r="BG504" s="49" t="s">
        <v>1373</v>
      </c>
      <c r="BH504" s="49" t="s">
        <v>1373</v>
      </c>
      <c r="BJ504" s="70" t="s">
        <v>1283</v>
      </c>
      <c r="BK504" s="57" t="s">
        <v>1283</v>
      </c>
      <c r="BL504" s="57" t="s">
        <v>1283</v>
      </c>
      <c r="BM504" s="57" t="s">
        <v>1283</v>
      </c>
      <c r="BN504" s="57" t="s">
        <v>1283</v>
      </c>
      <c r="BO504" s="57" t="s">
        <v>1283</v>
      </c>
      <c r="BP504" s="57" t="s">
        <v>1283</v>
      </c>
      <c r="BQ504" s="57" t="s">
        <v>1283</v>
      </c>
      <c r="BR504" s="57" t="s">
        <v>1283</v>
      </c>
      <c r="BS504" s="57" t="s">
        <v>1283</v>
      </c>
      <c r="BT504" s="57" t="s">
        <v>1283</v>
      </c>
      <c r="BU504" s="57" t="s">
        <v>1283</v>
      </c>
      <c r="BV504" s="70">
        <f t="shared" si="4109"/>
        <v>223</v>
      </c>
      <c r="BW504" s="71">
        <f t="shared" si="4110"/>
        <v>256</v>
      </c>
      <c r="BX504" s="72">
        <f t="shared" si="4111"/>
        <v>261</v>
      </c>
      <c r="BY504" s="71" t="str">
        <f t="shared" si="4112"/>
        <v>-</v>
      </c>
      <c r="BZ504" s="72">
        <f t="shared" si="4113"/>
        <v>312</v>
      </c>
      <c r="CA504" s="71" t="str">
        <f t="shared" si="4114"/>
        <v>-</v>
      </c>
      <c r="CB504" s="72">
        <f t="shared" si="4115"/>
        <v>356</v>
      </c>
      <c r="CC504" s="71">
        <f t="shared" si="4116"/>
        <v>390</v>
      </c>
      <c r="CD504" s="72">
        <f t="shared" si="4117"/>
        <v>396</v>
      </c>
      <c r="CE504" s="71">
        <f t="shared" si="4118"/>
        <v>443</v>
      </c>
      <c r="CF504" s="72">
        <f t="shared" si="4119"/>
        <v>514</v>
      </c>
      <c r="CG504" s="71">
        <f t="shared" si="4120"/>
        <v>538</v>
      </c>
      <c r="CH504" s="70">
        <f t="shared" si="4121"/>
        <v>255</v>
      </c>
      <c r="CI504" s="71">
        <f t="shared" si="4122"/>
        <v>260</v>
      </c>
      <c r="CJ504" s="72">
        <f t="shared" si="4123"/>
        <v>285</v>
      </c>
      <c r="CK504" s="72" t="str">
        <f t="shared" si="4124"/>
        <v>-</v>
      </c>
      <c r="CL504" s="72">
        <f t="shared" si="4125"/>
        <v>345</v>
      </c>
      <c r="CM504" s="72" t="str">
        <f t="shared" si="4126"/>
        <v>-</v>
      </c>
      <c r="CN504" s="72">
        <f t="shared" si="4127"/>
        <v>378</v>
      </c>
      <c r="CO504" s="72">
        <f t="shared" si="4128"/>
        <v>392</v>
      </c>
      <c r="CP504" s="72">
        <f t="shared" si="4129"/>
        <v>433</v>
      </c>
      <c r="CQ504" s="72">
        <f t="shared" si="4130"/>
        <v>491</v>
      </c>
      <c r="CR504" s="72">
        <f t="shared" si="4131"/>
        <v>537</v>
      </c>
      <c r="CS504" s="72">
        <f t="shared" si="4132"/>
        <v>552</v>
      </c>
      <c r="CT504" s="23">
        <f t="shared" si="4133"/>
        <v>1</v>
      </c>
    </row>
    <row r="505" spans="1:1030" x14ac:dyDescent="0.2">
      <c r="A505" s="3" t="str">
        <f t="shared" si="4218"/>
        <v>smo_human_4O9R</v>
      </c>
      <c r="B505" s="3" t="s">
        <v>33</v>
      </c>
      <c r="C505" s="3" t="s">
        <v>1045</v>
      </c>
      <c r="D505" s="3" t="str">
        <f>IFERROR(MID(VLOOKUP($B505,Seqs!$A:$B,2,0),E505,1),"")</f>
        <v>T</v>
      </c>
      <c r="E505" s="105">
        <v>223</v>
      </c>
      <c r="F505" s="3" t="str">
        <f>IFERROR(MID(VLOOKUP($B505,Seqs!$A:$B,2,0),G505,1),"")</f>
        <v>D</v>
      </c>
      <c r="G505" s="3">
        <v>255</v>
      </c>
      <c r="H505" s="3" t="str">
        <f>IFERROR(MID(VLOOKUP($B505,Seqs!$A:$B,2,0),I505,1),"")</f>
        <v>W</v>
      </c>
      <c r="I505" s="23">
        <v>256</v>
      </c>
      <c r="J505" s="3" t="str">
        <f>IFERROR(MID(VLOOKUP($B505,Seqs!$A:$B,2,0),K505,1),"")</f>
        <v>N</v>
      </c>
      <c r="K505" s="23">
        <v>260</v>
      </c>
      <c r="L505" s="3" t="str">
        <f>IFERROR(MID(VLOOKUP($B505,Seqs!$A:$B,2,0),M505,1),"")</f>
        <v>R</v>
      </c>
      <c r="M505" s="3">
        <v>261</v>
      </c>
      <c r="N505" s="3" t="str">
        <f>IFERROR(MID(VLOOKUP($B505,Seqs!$A:$B,2,0),O505,1),"")</f>
        <v>F</v>
      </c>
      <c r="O505" s="3">
        <v>285</v>
      </c>
      <c r="P505" s="3" t="str">
        <f>IFERROR(MID(VLOOKUP($B505,Seqs!$A:$B,2,0),Q505,1),"")</f>
        <v/>
      </c>
      <c r="Q505" s="3" t="s">
        <v>23</v>
      </c>
      <c r="R505" s="3" t="str">
        <f>IFERROR(MID(VLOOKUP($B505,Seqs!$A:$B,2,0),S505,1),"")</f>
        <v/>
      </c>
      <c r="S505" s="3" t="s">
        <v>23</v>
      </c>
      <c r="T505" s="3" t="str">
        <f>IFERROR(MID(VLOOKUP($B505,Seqs!$A:$B,2,0),U505,1),"")</f>
        <v>L</v>
      </c>
      <c r="U505" s="3">
        <v>312</v>
      </c>
      <c r="V505" s="3" t="str">
        <f>IFERROR(MID(VLOOKUP($B505,Seqs!$A:$B,2,0),W505,1),"")</f>
        <v>F</v>
      </c>
      <c r="W505" s="3">
        <v>343</v>
      </c>
      <c r="X505" s="3" t="str">
        <f>IFERROR(MID(VLOOKUP($B505,Seqs!$A:$B,2,0),Y505,1),"")</f>
        <v/>
      </c>
      <c r="Y505" s="3" t="s">
        <v>23</v>
      </c>
      <c r="Z505" s="3" t="str">
        <f>IFERROR(MID(VLOOKUP($B505,Seqs!$A:$B,2,0),AA505,1),"")</f>
        <v/>
      </c>
      <c r="AA505" s="3" t="s">
        <v>23</v>
      </c>
      <c r="AB505" s="3" t="str">
        <f>IFERROR(MID(VLOOKUP($B505,Seqs!$A:$B,2,0),AC505,1),"")</f>
        <v>F</v>
      </c>
      <c r="AC505" s="9">
        <v>360</v>
      </c>
      <c r="AD505" s="3" t="str">
        <f>IFERROR(MID(VLOOKUP($B505,Seqs!$A:$B,2,0),AE505,1),"")</f>
        <v>V</v>
      </c>
      <c r="AE505" s="3">
        <v>378</v>
      </c>
      <c r="AF505" s="3" t="str">
        <f>IFERROR(MID(VLOOKUP($B505,Seqs!$A:$B,2,0),AG505,1),"")</f>
        <v>C</v>
      </c>
      <c r="AG505" s="3">
        <v>390</v>
      </c>
      <c r="AH505" s="3" t="str">
        <f>IFERROR(MID(VLOOKUP($B505,Seqs!$A:$B,2,0),AI505,1),"")</f>
        <v>V</v>
      </c>
      <c r="AI505" s="3">
        <v>392</v>
      </c>
      <c r="AJ505" s="3" t="str">
        <f>IFERROR(MID(VLOOKUP($B505,Seqs!$A:$B,2,0),AK505,1),"")</f>
        <v>N</v>
      </c>
      <c r="AK505" s="105">
        <v>396</v>
      </c>
      <c r="AL505" s="3" t="str">
        <f>IFERROR(MID(VLOOKUP($B505,Seqs!$A:$B,2,0),AM505,1),"")</f>
        <v>H</v>
      </c>
      <c r="AM505" s="3">
        <v>433</v>
      </c>
      <c r="AN505" s="3" t="str">
        <f>IFERROR(MID(VLOOKUP($B505,Seqs!$A:$B,2,0),AO505,1),"")</f>
        <v>E</v>
      </c>
      <c r="AO505" s="3">
        <v>447</v>
      </c>
      <c r="AP505" s="3" t="str">
        <f>IFERROR(MID(VLOOKUP($B505,Seqs!$A:$B,2,0),AQ505,1),"")</f>
        <v>N</v>
      </c>
      <c r="AQ505" s="3">
        <v>493</v>
      </c>
      <c r="AR505" s="3" t="str">
        <f>IFERROR(MID(VLOOKUP($B505,Seqs!$A:$B,2,0),AS505,1),"")</f>
        <v>S</v>
      </c>
      <c r="AS505" s="105">
        <v>514</v>
      </c>
      <c r="AT505" s="3" t="str">
        <f>IFERROR(MID(VLOOKUP($B505,Seqs!$A:$B,2,0),AU505,1),"")</f>
        <v>W</v>
      </c>
      <c r="AU505" s="3">
        <v>537</v>
      </c>
      <c r="AV505" s="3" t="str">
        <f>IFERROR(MID(VLOOKUP($B505,Seqs!$A:$B,2,0),AW505,1),"")</f>
        <v>T</v>
      </c>
      <c r="AW505" s="3">
        <v>538</v>
      </c>
      <c r="AX505" s="3" t="str">
        <f>IFERROR(MID(VLOOKUP($B505,Seqs!$A:$B,2,0),AY505,1),"")</f>
        <v>W</v>
      </c>
      <c r="AY505" s="3">
        <v>549</v>
      </c>
      <c r="AZ505" s="78" t="str">
        <f>VLOOKUP(B505,Classification!A:D,2,0)</f>
        <v>F</v>
      </c>
      <c r="BA505" s="94" t="str">
        <f>VLOOKUP(B505,Classification!A:D,4,0)</f>
        <v>Frizzled</v>
      </c>
      <c r="BB505" s="92" t="b">
        <f t="shared" si="4219"/>
        <v>1</v>
      </c>
      <c r="BC505" s="23">
        <f t="shared" si="4108"/>
        <v>240</v>
      </c>
      <c r="BD505" s="74" t="s">
        <v>23</v>
      </c>
      <c r="BE505" s="3" t="s">
        <v>1370</v>
      </c>
      <c r="BF505" s="118">
        <v>3.2</v>
      </c>
      <c r="BG505" s="49" t="s">
        <v>1373</v>
      </c>
      <c r="BH505" s="49" t="s">
        <v>1373</v>
      </c>
      <c r="BJ505" s="75" t="s">
        <v>1283</v>
      </c>
      <c r="BK505" s="57" t="s">
        <v>1283</v>
      </c>
      <c r="BL505" s="57" t="s">
        <v>1283</v>
      </c>
      <c r="BM505" s="57" t="s">
        <v>1283</v>
      </c>
      <c r="BN505" s="57" t="s">
        <v>1283</v>
      </c>
      <c r="BO505" s="57" t="s">
        <v>1283</v>
      </c>
      <c r="BP505" s="57" t="s">
        <v>1283</v>
      </c>
      <c r="BQ505" s="57" t="s">
        <v>1283</v>
      </c>
      <c r="BR505" s="57" t="s">
        <v>1283</v>
      </c>
      <c r="BS505" s="57" t="s">
        <v>1283</v>
      </c>
      <c r="BT505" s="57" t="s">
        <v>1283</v>
      </c>
      <c r="BU505" s="57" t="s">
        <v>1283</v>
      </c>
      <c r="BV505" s="75">
        <f t="shared" si="4109"/>
        <v>223</v>
      </c>
      <c r="BW505" s="71">
        <f t="shared" si="4110"/>
        <v>256</v>
      </c>
      <c r="BX505" s="72">
        <f t="shared" si="4111"/>
        <v>261</v>
      </c>
      <c r="BY505" s="71" t="str">
        <f t="shared" si="4112"/>
        <v>-</v>
      </c>
      <c r="BZ505" s="72">
        <f t="shared" si="4113"/>
        <v>312</v>
      </c>
      <c r="CA505" s="71" t="str">
        <f t="shared" si="4114"/>
        <v>-</v>
      </c>
      <c r="CB505" s="72">
        <f t="shared" si="4115"/>
        <v>360</v>
      </c>
      <c r="CC505" s="71">
        <f t="shared" si="4116"/>
        <v>390</v>
      </c>
      <c r="CD505" s="72">
        <f t="shared" si="4117"/>
        <v>396</v>
      </c>
      <c r="CE505" s="71">
        <f t="shared" si="4118"/>
        <v>447</v>
      </c>
      <c r="CF505" s="72">
        <f t="shared" si="4119"/>
        <v>514</v>
      </c>
      <c r="CG505" s="71">
        <f t="shared" si="4120"/>
        <v>538</v>
      </c>
      <c r="CH505" s="75">
        <f t="shared" si="4121"/>
        <v>255</v>
      </c>
      <c r="CI505" s="71">
        <f t="shared" si="4122"/>
        <v>260</v>
      </c>
      <c r="CJ505" s="72">
        <f t="shared" si="4123"/>
        <v>285</v>
      </c>
      <c r="CK505" s="72" t="str">
        <f t="shared" si="4124"/>
        <v>-</v>
      </c>
      <c r="CL505" s="72">
        <f t="shared" si="4125"/>
        <v>343</v>
      </c>
      <c r="CM505" s="72" t="str">
        <f t="shared" si="4126"/>
        <v>-</v>
      </c>
      <c r="CN505" s="72">
        <f t="shared" si="4127"/>
        <v>378</v>
      </c>
      <c r="CO505" s="72">
        <f t="shared" si="4128"/>
        <v>392</v>
      </c>
      <c r="CP505" s="72">
        <f t="shared" si="4129"/>
        <v>433</v>
      </c>
      <c r="CQ505" s="72">
        <f t="shared" si="4130"/>
        <v>493</v>
      </c>
      <c r="CR505" s="72">
        <f t="shared" si="4131"/>
        <v>537</v>
      </c>
      <c r="CS505" s="72">
        <f t="shared" si="4132"/>
        <v>549</v>
      </c>
      <c r="CT505" s="23">
        <f t="shared" si="4133"/>
        <v>1</v>
      </c>
    </row>
    <row r="506" spans="1:1030" s="6" customFormat="1" x14ac:dyDescent="0.2">
      <c r="A506" s="3" t="str">
        <f t="shared" si="4218"/>
        <v>smo_human_4QIM</v>
      </c>
      <c r="B506" s="3" t="s">
        <v>33</v>
      </c>
      <c r="C506" s="3" t="s">
        <v>1047</v>
      </c>
      <c r="D506" s="3" t="str">
        <f>IFERROR(MID(VLOOKUP($B506,Seqs!$A:$B,2,0),E506,1),"")</f>
        <v>T</v>
      </c>
      <c r="E506" s="105">
        <v>223</v>
      </c>
      <c r="F506" s="3" t="str">
        <f>IFERROR(MID(VLOOKUP($B506,Seqs!$A:$B,2,0),G506,1),"")</f>
        <v>D</v>
      </c>
      <c r="G506" s="3">
        <v>255</v>
      </c>
      <c r="H506" s="3" t="str">
        <f>IFERROR(MID(VLOOKUP($B506,Seqs!$A:$B,2,0),I506,1),"")</f>
        <v>W</v>
      </c>
      <c r="I506" s="23">
        <v>256</v>
      </c>
      <c r="J506" s="3" t="str">
        <f>IFERROR(MID(VLOOKUP($B506,Seqs!$A:$B,2,0),K506,1),"")</f>
        <v>N</v>
      </c>
      <c r="K506" s="23">
        <v>260</v>
      </c>
      <c r="L506" s="3" t="str">
        <f>IFERROR(MID(VLOOKUP($B506,Seqs!$A:$B,2,0),M506,1),"")</f>
        <v>R</v>
      </c>
      <c r="M506" s="3">
        <v>261</v>
      </c>
      <c r="N506" s="3" t="str">
        <f>IFERROR(MID(VLOOKUP($B506,Seqs!$A:$B,2,0),O506,1),"")</f>
        <v>F</v>
      </c>
      <c r="O506" s="3">
        <v>285</v>
      </c>
      <c r="P506" s="3" t="str">
        <f>IFERROR(MID(VLOOKUP($B506,Seqs!$A:$B,2,0),Q506,1),"")</f>
        <v/>
      </c>
      <c r="Q506" s="3" t="s">
        <v>23</v>
      </c>
      <c r="R506" s="3" t="str">
        <f>IFERROR(MID(VLOOKUP($B506,Seqs!$A:$B,2,0),S506,1),"")</f>
        <v/>
      </c>
      <c r="S506" s="3" t="s">
        <v>23</v>
      </c>
      <c r="T506" s="3" t="str">
        <f>IFERROR(MID(VLOOKUP($B506,Seqs!$A:$B,2,0),U506,1),"")</f>
        <v>L</v>
      </c>
      <c r="U506" s="3">
        <v>312</v>
      </c>
      <c r="V506" s="3" t="str">
        <f>IFERROR(MID(VLOOKUP($B506,Seqs!$A:$B,2,0),W506,1),"")</f>
        <v>A</v>
      </c>
      <c r="W506" s="3">
        <v>345</v>
      </c>
      <c r="X506" s="3" t="str">
        <f>IFERROR(MID(VLOOKUP($B506,Seqs!$A:$B,2,0),Y506,1),"")</f>
        <v/>
      </c>
      <c r="Y506" s="3" t="s">
        <v>23</v>
      </c>
      <c r="Z506" s="3" t="str">
        <f>IFERROR(MID(VLOOKUP($B506,Seqs!$A:$B,2,0),AA506,1),"")</f>
        <v/>
      </c>
      <c r="AA506" s="3" t="s">
        <v>23</v>
      </c>
      <c r="AB506" s="3" t="str">
        <f>IFERROR(MID(VLOOKUP($B506,Seqs!$A:$B,2,0),AC506,1),"")</f>
        <v>K</v>
      </c>
      <c r="AC506" s="9">
        <v>356</v>
      </c>
      <c r="AD506" s="3" t="str">
        <f>IFERROR(MID(VLOOKUP($B506,Seqs!$A:$B,2,0),AE506,1),"")</f>
        <v>V</v>
      </c>
      <c r="AE506" s="3">
        <v>378</v>
      </c>
      <c r="AF506" s="3" t="str">
        <f>IFERROR(MID(VLOOKUP($B506,Seqs!$A:$B,2,0),AG506,1),"")</f>
        <v>C</v>
      </c>
      <c r="AG506" s="3">
        <v>390</v>
      </c>
      <c r="AH506" s="3" t="str">
        <f>IFERROR(MID(VLOOKUP($B506,Seqs!$A:$B,2,0),AI506,1),"")</f>
        <v>V</v>
      </c>
      <c r="AI506" s="3">
        <v>392</v>
      </c>
      <c r="AJ506" s="3" t="str">
        <f>IFERROR(MID(VLOOKUP($B506,Seqs!$A:$B,2,0),AK506,1),"")</f>
        <v>N</v>
      </c>
      <c r="AK506" s="105">
        <v>396</v>
      </c>
      <c r="AL506" s="3" t="str">
        <f>IFERROR(MID(VLOOKUP($B506,Seqs!$A:$B,2,0),AM506,1),"")</f>
        <v>H</v>
      </c>
      <c r="AM506" s="3">
        <v>433</v>
      </c>
      <c r="AN506" s="3" t="str">
        <f>IFERROR(MID(VLOOKUP($B506,Seqs!$A:$B,2,0),AO506,1),"")</f>
        <v>E</v>
      </c>
      <c r="AO506" s="3">
        <v>447</v>
      </c>
      <c r="AP506" s="3" t="str">
        <f>IFERROR(MID(VLOOKUP($B506,Seqs!$A:$B,2,0),AQ506,1),"")</f>
        <v>N</v>
      </c>
      <c r="AQ506" s="3">
        <v>493</v>
      </c>
      <c r="AR506" s="3" t="str">
        <f>IFERROR(MID(VLOOKUP($B506,Seqs!$A:$B,2,0),AS506,1),"")</f>
        <v>S</v>
      </c>
      <c r="AS506" s="105">
        <v>514</v>
      </c>
      <c r="AT506" s="3" t="str">
        <f>IFERROR(MID(VLOOKUP($B506,Seqs!$A:$B,2,0),AU506,1),"")</f>
        <v>W</v>
      </c>
      <c r="AU506" s="3">
        <v>537</v>
      </c>
      <c r="AV506" s="3" t="str">
        <f>IFERROR(MID(VLOOKUP($B506,Seqs!$A:$B,2,0),AW506,1),"")</f>
        <v>T</v>
      </c>
      <c r="AW506" s="3">
        <v>538</v>
      </c>
      <c r="AX506" s="3" t="str">
        <f>IFERROR(MID(VLOOKUP($B506,Seqs!$A:$B,2,0),AY506,1),"")</f>
        <v>T</v>
      </c>
      <c r="AY506" s="3">
        <v>553</v>
      </c>
      <c r="AZ506" s="78" t="str">
        <f>VLOOKUP(B506,Classification!A:D,2,0)</f>
        <v>F</v>
      </c>
      <c r="BA506" s="94" t="str">
        <f>VLOOKUP(B506,Classification!A:D,4,0)</f>
        <v>Frizzled</v>
      </c>
      <c r="BB506" s="92" t="b">
        <f t="shared" si="4219"/>
        <v>1</v>
      </c>
      <c r="BC506" s="23">
        <f t="shared" si="4108"/>
        <v>250</v>
      </c>
      <c r="BD506" s="74" t="s">
        <v>23</v>
      </c>
      <c r="BE506" s="3" t="s">
        <v>1370</v>
      </c>
      <c r="BF506" s="118">
        <v>2.61</v>
      </c>
      <c r="BG506" s="49" t="s">
        <v>1373</v>
      </c>
      <c r="BH506" s="49" t="s">
        <v>1373</v>
      </c>
      <c r="BI506" s="3"/>
      <c r="BJ506" s="75" t="s">
        <v>1283</v>
      </c>
      <c r="BK506" s="57" t="s">
        <v>1283</v>
      </c>
      <c r="BL506" s="57" t="s">
        <v>1283</v>
      </c>
      <c r="BM506" s="57" t="s">
        <v>1283</v>
      </c>
      <c r="BN506" s="57" t="s">
        <v>1283</v>
      </c>
      <c r="BO506" s="57" t="s">
        <v>1283</v>
      </c>
      <c r="BP506" s="57" t="s">
        <v>1283</v>
      </c>
      <c r="BQ506" s="57" t="s">
        <v>1283</v>
      </c>
      <c r="BR506" s="57" t="s">
        <v>1283</v>
      </c>
      <c r="BS506" s="57" t="s">
        <v>1283</v>
      </c>
      <c r="BT506" s="57" t="s">
        <v>1283</v>
      </c>
      <c r="BU506" s="57" t="s">
        <v>1283</v>
      </c>
      <c r="BV506" s="75">
        <f t="shared" si="4109"/>
        <v>223</v>
      </c>
      <c r="BW506" s="71">
        <f t="shared" si="4110"/>
        <v>256</v>
      </c>
      <c r="BX506" s="72">
        <f t="shared" si="4111"/>
        <v>261</v>
      </c>
      <c r="BY506" s="71" t="str">
        <f t="shared" si="4112"/>
        <v>-</v>
      </c>
      <c r="BZ506" s="72">
        <f t="shared" si="4113"/>
        <v>312</v>
      </c>
      <c r="CA506" s="71" t="str">
        <f t="shared" si="4114"/>
        <v>-</v>
      </c>
      <c r="CB506" s="72">
        <f t="shared" si="4115"/>
        <v>356</v>
      </c>
      <c r="CC506" s="71">
        <f t="shared" si="4116"/>
        <v>390</v>
      </c>
      <c r="CD506" s="72">
        <f t="shared" si="4117"/>
        <v>396</v>
      </c>
      <c r="CE506" s="71">
        <f t="shared" si="4118"/>
        <v>447</v>
      </c>
      <c r="CF506" s="72">
        <f t="shared" si="4119"/>
        <v>514</v>
      </c>
      <c r="CG506" s="71">
        <f t="shared" si="4120"/>
        <v>538</v>
      </c>
      <c r="CH506" s="75">
        <f t="shared" si="4121"/>
        <v>255</v>
      </c>
      <c r="CI506" s="71">
        <f t="shared" si="4122"/>
        <v>260</v>
      </c>
      <c r="CJ506" s="72">
        <f t="shared" si="4123"/>
        <v>285</v>
      </c>
      <c r="CK506" s="72" t="str">
        <f t="shared" si="4124"/>
        <v>-</v>
      </c>
      <c r="CL506" s="72">
        <f t="shared" si="4125"/>
        <v>345</v>
      </c>
      <c r="CM506" s="72" t="str">
        <f t="shared" si="4126"/>
        <v>-</v>
      </c>
      <c r="CN506" s="72">
        <f t="shared" si="4127"/>
        <v>378</v>
      </c>
      <c r="CO506" s="72">
        <f t="shared" si="4128"/>
        <v>392</v>
      </c>
      <c r="CP506" s="72">
        <f t="shared" si="4129"/>
        <v>433</v>
      </c>
      <c r="CQ506" s="72">
        <f t="shared" si="4130"/>
        <v>493</v>
      </c>
      <c r="CR506" s="72">
        <f t="shared" si="4131"/>
        <v>537</v>
      </c>
      <c r="CS506" s="72">
        <f t="shared" si="4132"/>
        <v>553</v>
      </c>
      <c r="CT506" s="23">
        <f t="shared" si="4133"/>
        <v>1</v>
      </c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  <c r="TK506" s="3"/>
      <c r="TL506" s="3"/>
      <c r="TM506" s="3"/>
      <c r="TN506" s="3"/>
      <c r="TO506" s="3"/>
      <c r="TP506" s="3"/>
      <c r="TQ506" s="3"/>
      <c r="TR506" s="3"/>
      <c r="TS506" s="3"/>
      <c r="TT506" s="3"/>
      <c r="TU506" s="3"/>
      <c r="TV506" s="3"/>
      <c r="TW506" s="3"/>
      <c r="TX506" s="3"/>
      <c r="TY506" s="3"/>
      <c r="TZ506" s="3"/>
      <c r="UA506" s="3"/>
      <c r="UB506" s="3"/>
      <c r="UC506" s="3"/>
      <c r="UD506" s="3"/>
      <c r="UE506" s="3"/>
      <c r="UF506" s="3"/>
      <c r="UG506" s="3"/>
      <c r="UH506" s="3"/>
      <c r="UI506" s="3"/>
      <c r="UJ506" s="3"/>
      <c r="UK506" s="3"/>
      <c r="UL506" s="3"/>
      <c r="UM506" s="3"/>
      <c r="UN506" s="3"/>
      <c r="UO506" s="3"/>
      <c r="UP506" s="3"/>
      <c r="UQ506" s="3"/>
      <c r="UR506" s="3"/>
      <c r="US506" s="3"/>
      <c r="UT506" s="3"/>
      <c r="UU506" s="3"/>
      <c r="UV506" s="3"/>
      <c r="UW506" s="3"/>
      <c r="UX506" s="3"/>
      <c r="UY506" s="3"/>
      <c r="UZ506" s="3"/>
      <c r="VA506" s="3"/>
      <c r="VB506" s="3"/>
      <c r="VC506" s="3"/>
      <c r="VD506" s="3"/>
      <c r="VE506" s="3"/>
      <c r="VF506" s="3"/>
      <c r="VG506" s="3"/>
      <c r="VH506" s="3"/>
      <c r="VI506" s="3"/>
      <c r="VJ506" s="3"/>
      <c r="VK506" s="3"/>
      <c r="VL506" s="3"/>
      <c r="VM506" s="3"/>
      <c r="VN506" s="3"/>
      <c r="VO506" s="3"/>
      <c r="VP506" s="3"/>
      <c r="VQ506" s="3"/>
      <c r="VR506" s="3"/>
      <c r="VS506" s="3"/>
      <c r="VT506" s="3"/>
      <c r="VU506" s="3"/>
      <c r="VV506" s="3"/>
      <c r="VW506" s="3"/>
      <c r="VX506" s="3"/>
      <c r="VY506" s="3"/>
      <c r="VZ506" s="3"/>
      <c r="WA506" s="3"/>
      <c r="WB506" s="3"/>
      <c r="WC506" s="3"/>
      <c r="WD506" s="3"/>
      <c r="WE506" s="3"/>
      <c r="WF506" s="3"/>
      <c r="WG506" s="3"/>
      <c r="WH506" s="3"/>
      <c r="WI506" s="3"/>
      <c r="WJ506" s="3"/>
      <c r="WK506" s="3"/>
      <c r="WL506" s="3"/>
      <c r="WM506" s="3"/>
      <c r="WN506" s="3"/>
      <c r="WO506" s="3"/>
      <c r="WP506" s="3"/>
      <c r="WQ506" s="3"/>
      <c r="WR506" s="3"/>
      <c r="WS506" s="3"/>
      <c r="WT506" s="3"/>
      <c r="WU506" s="3"/>
      <c r="WV506" s="3"/>
      <c r="WW506" s="3"/>
      <c r="WX506" s="3"/>
      <c r="WY506" s="3"/>
      <c r="WZ506" s="3"/>
      <c r="XA506" s="3"/>
      <c r="XB506" s="3"/>
      <c r="XC506" s="3"/>
      <c r="XD506" s="3"/>
      <c r="XE506" s="3"/>
      <c r="XF506" s="3"/>
      <c r="XG506" s="3"/>
      <c r="XH506" s="3"/>
      <c r="XI506" s="3"/>
      <c r="XJ506" s="3"/>
      <c r="XK506" s="3"/>
      <c r="XL506" s="3"/>
      <c r="XM506" s="3"/>
      <c r="XN506" s="3"/>
      <c r="XO506" s="3"/>
      <c r="XP506" s="3"/>
      <c r="XQ506" s="3"/>
      <c r="XR506" s="3"/>
      <c r="XS506" s="3"/>
      <c r="XT506" s="3"/>
      <c r="XU506" s="3"/>
      <c r="XV506" s="3"/>
      <c r="XW506" s="3"/>
      <c r="XX506" s="3"/>
      <c r="XY506" s="3"/>
      <c r="XZ506" s="3"/>
      <c r="YA506" s="3"/>
      <c r="YB506" s="3"/>
      <c r="YC506" s="3"/>
      <c r="YD506" s="3"/>
      <c r="YE506" s="3"/>
      <c r="YF506" s="3"/>
      <c r="YG506" s="3"/>
      <c r="YH506" s="3"/>
      <c r="YI506" s="3"/>
      <c r="YJ506" s="3"/>
      <c r="YK506" s="3"/>
      <c r="YL506" s="3"/>
      <c r="YM506" s="3"/>
      <c r="YN506" s="3"/>
      <c r="YO506" s="3"/>
      <c r="YP506" s="3"/>
      <c r="YQ506" s="3"/>
      <c r="YR506" s="3"/>
      <c r="YS506" s="3"/>
      <c r="YT506" s="3"/>
      <c r="YU506" s="3"/>
      <c r="YV506" s="3"/>
      <c r="YW506" s="3"/>
      <c r="YX506" s="3"/>
      <c r="YY506" s="3"/>
      <c r="YZ506" s="3"/>
      <c r="ZA506" s="3"/>
      <c r="ZB506" s="3"/>
      <c r="ZC506" s="3"/>
      <c r="ZD506" s="3"/>
      <c r="ZE506" s="3"/>
      <c r="ZF506" s="3"/>
      <c r="ZG506" s="3"/>
      <c r="ZH506" s="3"/>
      <c r="ZI506" s="3"/>
      <c r="ZJ506" s="3"/>
      <c r="ZK506" s="3"/>
      <c r="ZL506" s="3"/>
      <c r="ZM506" s="3"/>
      <c r="ZN506" s="3"/>
      <c r="ZO506" s="3"/>
      <c r="ZP506" s="3"/>
      <c r="ZQ506" s="3"/>
      <c r="ZR506" s="3"/>
      <c r="ZS506" s="3"/>
      <c r="ZT506" s="3"/>
      <c r="ZU506" s="3"/>
      <c r="ZV506" s="3"/>
      <c r="ZW506" s="3"/>
      <c r="ZX506" s="3"/>
      <c r="ZY506" s="3"/>
      <c r="ZZ506" s="3"/>
      <c r="AAA506" s="3"/>
      <c r="AAB506" s="3"/>
      <c r="AAC506" s="3"/>
      <c r="AAD506" s="3"/>
      <c r="AAE506" s="3"/>
      <c r="AAF506" s="3"/>
      <c r="AAG506" s="3"/>
      <c r="AAH506" s="3"/>
      <c r="AAI506" s="3"/>
      <c r="AAJ506" s="3"/>
      <c r="AAK506" s="3"/>
      <c r="AAL506" s="3"/>
      <c r="AAM506" s="3"/>
      <c r="AAN506" s="3"/>
      <c r="AAO506" s="3"/>
      <c r="AAP506" s="3"/>
      <c r="AAQ506" s="3"/>
      <c r="AAR506" s="3"/>
      <c r="AAS506" s="3"/>
      <c r="AAT506" s="3"/>
      <c r="AAU506" s="3"/>
      <c r="AAV506" s="3"/>
      <c r="AAW506" s="3"/>
      <c r="AAX506" s="3"/>
      <c r="AAY506" s="3"/>
      <c r="AAZ506" s="3"/>
      <c r="ABA506" s="3"/>
      <c r="ABB506" s="3"/>
      <c r="ABC506" s="3"/>
      <c r="ABD506" s="3"/>
      <c r="ABE506" s="3"/>
      <c r="ABF506" s="3"/>
      <c r="ABG506" s="3"/>
      <c r="ABH506" s="3"/>
      <c r="ABI506" s="3"/>
      <c r="ABJ506" s="3"/>
      <c r="ABK506" s="3"/>
      <c r="ABL506" s="3"/>
      <c r="ABM506" s="3"/>
      <c r="ABN506" s="3"/>
      <c r="ABO506" s="3"/>
      <c r="ABP506" s="3"/>
      <c r="ABQ506" s="3"/>
      <c r="ABR506" s="3"/>
      <c r="ABS506" s="3"/>
      <c r="ABT506" s="3"/>
      <c r="ABU506" s="3"/>
      <c r="ABV506" s="3"/>
      <c r="ABW506" s="3"/>
      <c r="ABX506" s="3"/>
      <c r="ABY506" s="3"/>
      <c r="ABZ506" s="3"/>
      <c r="ACA506" s="3"/>
      <c r="ACB506" s="3"/>
      <c r="ACC506" s="3"/>
      <c r="ACD506" s="3"/>
      <c r="ACE506" s="3"/>
      <c r="ACF506" s="3"/>
      <c r="ACG506" s="3"/>
      <c r="ACH506" s="3"/>
      <c r="ACI506" s="3"/>
      <c r="ACJ506" s="3"/>
      <c r="ACK506" s="3"/>
      <c r="ACL506" s="3"/>
      <c r="ACM506" s="3"/>
      <c r="ACN506" s="3"/>
      <c r="ACO506" s="3"/>
      <c r="ACP506" s="3"/>
      <c r="ACQ506" s="3"/>
      <c r="ACR506" s="3"/>
      <c r="ACS506" s="3"/>
      <c r="ACT506" s="3"/>
      <c r="ACU506" s="3"/>
      <c r="ACV506" s="3"/>
      <c r="ACW506" s="3"/>
      <c r="ACX506" s="3"/>
      <c r="ACY506" s="3"/>
      <c r="ACZ506" s="3"/>
      <c r="ADA506" s="3"/>
      <c r="ADB506" s="3"/>
      <c r="ADC506" s="3"/>
      <c r="ADD506" s="3"/>
      <c r="ADE506" s="3"/>
      <c r="ADF506" s="3"/>
      <c r="ADG506" s="3"/>
      <c r="ADH506" s="3"/>
      <c r="ADI506" s="3"/>
      <c r="ADJ506" s="3"/>
      <c r="ADK506" s="3"/>
      <c r="ADL506" s="3"/>
      <c r="ADM506" s="3"/>
      <c r="ADN506" s="3"/>
      <c r="ADO506" s="3"/>
      <c r="ADP506" s="3"/>
      <c r="ADQ506" s="3"/>
      <c r="ADR506" s="3"/>
      <c r="ADS506" s="3"/>
      <c r="ADT506" s="3"/>
      <c r="ADU506" s="3"/>
      <c r="ADV506" s="3"/>
      <c r="ADW506" s="3"/>
      <c r="ADX506" s="3"/>
      <c r="ADY506" s="3"/>
      <c r="ADZ506" s="3"/>
      <c r="AEA506" s="3"/>
      <c r="AEB506" s="3"/>
      <c r="AEC506" s="3"/>
      <c r="AED506" s="3"/>
      <c r="AEE506" s="3"/>
      <c r="AEF506" s="3"/>
      <c r="AEG506" s="3"/>
      <c r="AEH506" s="3"/>
      <c r="AEI506" s="3"/>
      <c r="AEJ506" s="3"/>
      <c r="AEK506" s="3"/>
      <c r="AEL506" s="3"/>
      <c r="AEM506" s="3"/>
      <c r="AEN506" s="3"/>
      <c r="AEO506" s="3"/>
      <c r="AEP506" s="3"/>
      <c r="AEQ506" s="3"/>
      <c r="AER506" s="3"/>
      <c r="AES506" s="3"/>
      <c r="AET506" s="3"/>
      <c r="AEU506" s="3"/>
      <c r="AEV506" s="3"/>
      <c r="AEW506" s="3"/>
      <c r="AEX506" s="3"/>
      <c r="AEY506" s="3"/>
      <c r="AEZ506" s="3"/>
      <c r="AFA506" s="3"/>
      <c r="AFB506" s="3"/>
      <c r="AFC506" s="3"/>
      <c r="AFD506" s="3"/>
      <c r="AFE506" s="3"/>
      <c r="AFF506" s="3"/>
      <c r="AFG506" s="3"/>
      <c r="AFH506" s="3"/>
      <c r="AFI506" s="3"/>
      <c r="AFJ506" s="3"/>
      <c r="AFK506" s="3"/>
      <c r="AFL506" s="3"/>
      <c r="AFM506" s="3"/>
      <c r="AFN506" s="3"/>
      <c r="AFO506" s="3"/>
      <c r="AFP506" s="3"/>
      <c r="AFQ506" s="3"/>
      <c r="AFR506" s="3"/>
      <c r="AFS506" s="3"/>
      <c r="AFT506" s="3"/>
      <c r="AFU506" s="3"/>
      <c r="AFV506" s="3"/>
      <c r="AFW506" s="3"/>
      <c r="AFX506" s="3"/>
      <c r="AFY506" s="3"/>
      <c r="AFZ506" s="3"/>
      <c r="AGA506" s="3"/>
      <c r="AGB506" s="3"/>
      <c r="AGC506" s="3"/>
      <c r="AGD506" s="3"/>
      <c r="AGE506" s="3"/>
      <c r="AGF506" s="3"/>
      <c r="AGG506" s="3"/>
      <c r="AGH506" s="3"/>
      <c r="AGI506" s="3"/>
      <c r="AGJ506" s="3"/>
      <c r="AGK506" s="3"/>
      <c r="AGL506" s="3"/>
      <c r="AGM506" s="3"/>
      <c r="AGN506" s="3"/>
      <c r="AGO506" s="3"/>
      <c r="AGP506" s="3"/>
      <c r="AGQ506" s="3"/>
      <c r="AGR506" s="3"/>
      <c r="AGS506" s="3"/>
      <c r="AGT506" s="3"/>
      <c r="AGU506" s="3"/>
      <c r="AGV506" s="3"/>
      <c r="AGW506" s="3"/>
      <c r="AGX506" s="3"/>
      <c r="AGY506" s="3"/>
      <c r="AGZ506" s="3"/>
      <c r="AHA506" s="3"/>
      <c r="AHB506" s="3"/>
      <c r="AHC506" s="3"/>
      <c r="AHD506" s="3"/>
      <c r="AHE506" s="3"/>
      <c r="AHF506" s="3"/>
      <c r="AHG506" s="3"/>
      <c r="AHH506" s="3"/>
      <c r="AHI506" s="3"/>
      <c r="AHJ506" s="3"/>
      <c r="AHK506" s="3"/>
      <c r="AHL506" s="3"/>
      <c r="AHM506" s="3"/>
      <c r="AHN506" s="3"/>
      <c r="AHO506" s="3"/>
      <c r="AHP506" s="3"/>
      <c r="AHQ506" s="3"/>
      <c r="AHR506" s="3"/>
      <c r="AHS506" s="3"/>
      <c r="AHT506" s="3"/>
      <c r="AHU506" s="3"/>
      <c r="AHV506" s="3"/>
      <c r="AHW506" s="3"/>
      <c r="AHX506" s="3"/>
      <c r="AHY506" s="3"/>
      <c r="AHZ506" s="3"/>
      <c r="AIA506" s="3"/>
      <c r="AIB506" s="3"/>
      <c r="AIC506" s="3"/>
      <c r="AID506" s="3"/>
      <c r="AIE506" s="3"/>
      <c r="AIF506" s="3"/>
      <c r="AIG506" s="3"/>
      <c r="AIH506" s="3"/>
      <c r="AII506" s="3"/>
      <c r="AIJ506" s="3"/>
      <c r="AIK506" s="3"/>
      <c r="AIL506" s="3"/>
      <c r="AIM506" s="3"/>
      <c r="AIN506" s="3"/>
      <c r="AIO506" s="3"/>
      <c r="AIP506" s="3"/>
      <c r="AIQ506" s="3"/>
      <c r="AIR506" s="3"/>
      <c r="AIS506" s="3"/>
      <c r="AIT506" s="3"/>
      <c r="AIU506" s="3"/>
      <c r="AIV506" s="3"/>
      <c r="AIW506" s="3"/>
      <c r="AIX506" s="3"/>
      <c r="AIY506" s="3"/>
      <c r="AIZ506" s="3"/>
      <c r="AJA506" s="3"/>
      <c r="AJB506" s="3"/>
      <c r="AJC506" s="3"/>
      <c r="AJD506" s="3"/>
      <c r="AJE506" s="3"/>
      <c r="AJF506" s="3"/>
      <c r="AJG506" s="3"/>
      <c r="AJH506" s="3"/>
      <c r="AJI506" s="3"/>
      <c r="AJJ506" s="3"/>
      <c r="AJK506" s="3"/>
      <c r="AJL506" s="3"/>
      <c r="AJM506" s="3"/>
      <c r="AJN506" s="3"/>
      <c r="AJO506" s="3"/>
      <c r="AJP506" s="3"/>
      <c r="AJQ506" s="3"/>
      <c r="AJR506" s="3"/>
      <c r="AJS506" s="3"/>
      <c r="AJT506" s="3"/>
      <c r="AJU506" s="3"/>
      <c r="AJV506" s="3"/>
      <c r="AJW506" s="3"/>
      <c r="AJX506" s="3"/>
      <c r="AJY506" s="3"/>
      <c r="AJZ506" s="3"/>
      <c r="AKA506" s="3"/>
      <c r="AKB506" s="3"/>
      <c r="AKC506" s="3"/>
      <c r="AKD506" s="3"/>
      <c r="AKE506" s="3"/>
      <c r="AKF506" s="3"/>
      <c r="AKG506" s="3"/>
      <c r="AKH506" s="3"/>
      <c r="AKI506" s="3"/>
      <c r="AKJ506" s="3"/>
      <c r="AKK506" s="3"/>
      <c r="AKL506" s="3"/>
      <c r="AKM506" s="3"/>
      <c r="AKN506" s="3"/>
      <c r="AKO506" s="3"/>
      <c r="AKP506" s="3"/>
      <c r="AKQ506" s="3"/>
      <c r="AKR506" s="3"/>
      <c r="AKS506" s="3"/>
      <c r="AKT506" s="3"/>
      <c r="AKU506" s="3"/>
      <c r="AKV506" s="3"/>
      <c r="AKW506" s="3"/>
      <c r="AKX506" s="3"/>
      <c r="AKY506" s="3"/>
      <c r="AKZ506" s="3"/>
      <c r="ALA506" s="3"/>
      <c r="ALB506" s="3"/>
      <c r="ALC506" s="3"/>
      <c r="ALD506" s="3"/>
      <c r="ALE506" s="3"/>
      <c r="ALF506" s="3"/>
      <c r="ALG506" s="3"/>
      <c r="ALH506" s="3"/>
      <c r="ALI506" s="3"/>
      <c r="ALJ506" s="3"/>
      <c r="ALK506" s="3"/>
      <c r="ALL506" s="3"/>
      <c r="ALM506" s="3"/>
      <c r="ALN506" s="3"/>
      <c r="ALO506" s="3"/>
      <c r="ALP506" s="3"/>
      <c r="ALQ506" s="3"/>
      <c r="ALR506" s="3"/>
      <c r="ALS506" s="3"/>
      <c r="ALT506" s="3"/>
      <c r="ALU506" s="3"/>
      <c r="ALV506" s="3"/>
      <c r="ALW506" s="3"/>
      <c r="ALX506" s="3"/>
      <c r="ALY506" s="3"/>
      <c r="ALZ506" s="3"/>
      <c r="AMA506" s="3"/>
      <c r="AMB506" s="3"/>
      <c r="AMC506" s="3"/>
      <c r="AMD506" s="3"/>
      <c r="AME506" s="3"/>
      <c r="AMF506" s="3"/>
      <c r="AMG506" s="3"/>
      <c r="AMH506" s="3"/>
      <c r="AMI506" s="3"/>
      <c r="AMJ506" s="3"/>
      <c r="AMK506" s="3"/>
      <c r="AML506" s="3"/>
      <c r="AMM506" s="3"/>
      <c r="AMN506" s="3"/>
      <c r="AMO506" s="3"/>
      <c r="AMP506" s="1"/>
    </row>
    <row r="507" spans="1:1030" s="6" customFormat="1" x14ac:dyDescent="0.2">
      <c r="A507" s="3" t="str">
        <f t="shared" si="4218"/>
        <v>smo_human_4QIN</v>
      </c>
      <c r="B507" s="3" t="s">
        <v>33</v>
      </c>
      <c r="C507" s="3" t="s">
        <v>56</v>
      </c>
      <c r="D507" s="3" t="str">
        <f>IFERROR(MID(VLOOKUP($B507,Seqs!$A:$B,2,0),E507,1),"")</f>
        <v>T</v>
      </c>
      <c r="E507" s="105">
        <v>223</v>
      </c>
      <c r="F507" s="3" t="str">
        <f>IFERROR(MID(VLOOKUP($B507,Seqs!$A:$B,2,0),G507,1),"")</f>
        <v>D</v>
      </c>
      <c r="G507" s="3">
        <v>255</v>
      </c>
      <c r="H507" s="3" t="str">
        <f>IFERROR(MID(VLOOKUP($B507,Seqs!$A:$B,2,0),I507,1),"")</f>
        <v>W</v>
      </c>
      <c r="I507" s="23">
        <v>256</v>
      </c>
      <c r="J507" s="3" t="str">
        <f>IFERROR(MID(VLOOKUP($B507,Seqs!$A:$B,2,0),K507,1),"")</f>
        <v>N</v>
      </c>
      <c r="K507" s="23">
        <v>260</v>
      </c>
      <c r="L507" s="3" t="str">
        <f>IFERROR(MID(VLOOKUP($B507,Seqs!$A:$B,2,0),M507,1),"")</f>
        <v>R</v>
      </c>
      <c r="M507" s="3">
        <v>261</v>
      </c>
      <c r="N507" s="3" t="str">
        <f>IFERROR(MID(VLOOKUP($B507,Seqs!$A:$B,2,0),O507,1),"")</f>
        <v>F</v>
      </c>
      <c r="O507" s="3">
        <v>285</v>
      </c>
      <c r="P507" s="3" t="str">
        <f>IFERROR(MID(VLOOKUP($B507,Seqs!$A:$B,2,0),Q507,1),"")</f>
        <v/>
      </c>
      <c r="Q507" s="3" t="s">
        <v>23</v>
      </c>
      <c r="R507" s="3" t="str">
        <f>IFERROR(MID(VLOOKUP($B507,Seqs!$A:$B,2,0),S507,1),"")</f>
        <v/>
      </c>
      <c r="S507" s="3" t="s">
        <v>23</v>
      </c>
      <c r="T507" s="3" t="str">
        <f>IFERROR(MID(VLOOKUP($B507,Seqs!$A:$B,2,0),U507,1),"")</f>
        <v>L</v>
      </c>
      <c r="U507" s="3">
        <v>312</v>
      </c>
      <c r="V507" s="3" t="str">
        <f>IFERROR(MID(VLOOKUP($B507,Seqs!$A:$B,2,0),W507,1),"")</f>
        <v>A</v>
      </c>
      <c r="W507" s="3">
        <v>345</v>
      </c>
      <c r="X507" s="3" t="str">
        <f>IFERROR(MID(VLOOKUP($B507,Seqs!$A:$B,2,0),Y507,1),"")</f>
        <v/>
      </c>
      <c r="Y507" s="3" t="s">
        <v>23</v>
      </c>
      <c r="Z507" s="3" t="str">
        <f>IFERROR(MID(VLOOKUP($B507,Seqs!$A:$B,2,0),AA507,1),"")</f>
        <v/>
      </c>
      <c r="AA507" s="3" t="s">
        <v>23</v>
      </c>
      <c r="AB507" s="3" t="str">
        <f>IFERROR(MID(VLOOKUP($B507,Seqs!$A:$B,2,0),AC507,1),"")</f>
        <v>K</v>
      </c>
      <c r="AC507" s="9">
        <v>356</v>
      </c>
      <c r="AD507" s="3" t="str">
        <f>IFERROR(MID(VLOOKUP($B507,Seqs!$A:$B,2,0),AE507,1),"")</f>
        <v>A</v>
      </c>
      <c r="AE507" s="3">
        <v>379</v>
      </c>
      <c r="AF507" s="3" t="str">
        <f>IFERROR(MID(VLOOKUP($B507,Seqs!$A:$B,2,0),AG507,1),"")</f>
        <v>C</v>
      </c>
      <c r="AG507" s="3">
        <v>390</v>
      </c>
      <c r="AH507" s="3" t="str">
        <f>IFERROR(MID(VLOOKUP($B507,Seqs!$A:$B,2,0),AI507,1),"")</f>
        <v>V</v>
      </c>
      <c r="AI507" s="3">
        <v>392</v>
      </c>
      <c r="AJ507" s="3" t="str">
        <f>IFERROR(MID(VLOOKUP($B507,Seqs!$A:$B,2,0),AK507,1),"")</f>
        <v>N</v>
      </c>
      <c r="AK507" s="105">
        <v>396</v>
      </c>
      <c r="AL507" s="3" t="str">
        <f>IFERROR(MID(VLOOKUP($B507,Seqs!$A:$B,2,0),AM507,1),"")</f>
        <v>H</v>
      </c>
      <c r="AM507" s="3">
        <v>433</v>
      </c>
      <c r="AN507" s="3" t="str">
        <f>IFERROR(MID(VLOOKUP($B507,Seqs!$A:$B,2,0),AO507,1),"")</f>
        <v>E</v>
      </c>
      <c r="AO507" s="3">
        <v>447</v>
      </c>
      <c r="AP507" s="3" t="str">
        <f>IFERROR(MID(VLOOKUP($B507,Seqs!$A:$B,2,0),AQ507,1),"")</f>
        <v>A</v>
      </c>
      <c r="AQ507" s="3">
        <v>492</v>
      </c>
      <c r="AR507" s="3" t="str">
        <f>IFERROR(MID(VLOOKUP($B507,Seqs!$A:$B,2,0),AS507,1),"")</f>
        <v>S</v>
      </c>
      <c r="AS507" s="105">
        <v>514</v>
      </c>
      <c r="AT507" s="3" t="str">
        <f>IFERROR(MID(VLOOKUP($B507,Seqs!$A:$B,2,0),AU507,1),"")</f>
        <v>W</v>
      </c>
      <c r="AU507" s="3">
        <v>537</v>
      </c>
      <c r="AV507" s="3" t="str">
        <f>IFERROR(MID(VLOOKUP($B507,Seqs!$A:$B,2,0),AW507,1),"")</f>
        <v>T</v>
      </c>
      <c r="AW507" s="3">
        <v>538</v>
      </c>
      <c r="AX507" s="3" t="str">
        <f>IFERROR(MID(VLOOKUP($B507,Seqs!$A:$B,2,0),AY507,1),"")</f>
        <v>R</v>
      </c>
      <c r="AY507" s="3">
        <v>551</v>
      </c>
      <c r="AZ507" s="78" t="str">
        <f>VLOOKUP(B507,Classification!A:D,2,0)</f>
        <v>F</v>
      </c>
      <c r="BA507" s="94" t="str">
        <f>VLOOKUP(B507,Classification!A:D,4,0)</f>
        <v>Frizzled</v>
      </c>
      <c r="BB507" s="92" t="b">
        <f t="shared" si="4219"/>
        <v>1</v>
      </c>
      <c r="BC507" s="23">
        <f t="shared" si="4108"/>
        <v>248</v>
      </c>
      <c r="BD507" s="74" t="s">
        <v>23</v>
      </c>
      <c r="BE507" s="3" t="s">
        <v>1370</v>
      </c>
      <c r="BF507" s="118">
        <v>2.6</v>
      </c>
      <c r="BG507" s="49" t="s">
        <v>1373</v>
      </c>
      <c r="BH507" s="49" t="s">
        <v>1373</v>
      </c>
      <c r="BI507" s="3"/>
      <c r="BJ507" s="75" t="s">
        <v>1283</v>
      </c>
      <c r="BK507" s="57" t="s">
        <v>1283</v>
      </c>
      <c r="BL507" s="57" t="s">
        <v>1283</v>
      </c>
      <c r="BM507" s="57" t="s">
        <v>1283</v>
      </c>
      <c r="BN507" s="57" t="s">
        <v>1283</v>
      </c>
      <c r="BO507" s="57" t="s">
        <v>1283</v>
      </c>
      <c r="BP507" s="57" t="s">
        <v>1283</v>
      </c>
      <c r="BQ507" s="57" t="s">
        <v>1283</v>
      </c>
      <c r="BR507" s="57" t="s">
        <v>1283</v>
      </c>
      <c r="BS507" s="57" t="s">
        <v>1283</v>
      </c>
      <c r="BT507" s="57" t="s">
        <v>1283</v>
      </c>
      <c r="BU507" s="57" t="s">
        <v>1283</v>
      </c>
      <c r="BV507" s="75">
        <f t="shared" si="4109"/>
        <v>223</v>
      </c>
      <c r="BW507" s="71">
        <f t="shared" si="4110"/>
        <v>256</v>
      </c>
      <c r="BX507" s="72">
        <f t="shared" si="4111"/>
        <v>261</v>
      </c>
      <c r="BY507" s="71" t="str">
        <f t="shared" si="4112"/>
        <v>-</v>
      </c>
      <c r="BZ507" s="72">
        <f t="shared" si="4113"/>
        <v>312</v>
      </c>
      <c r="CA507" s="71" t="str">
        <f t="shared" si="4114"/>
        <v>-</v>
      </c>
      <c r="CB507" s="72">
        <f t="shared" si="4115"/>
        <v>356</v>
      </c>
      <c r="CC507" s="71">
        <f t="shared" si="4116"/>
        <v>390</v>
      </c>
      <c r="CD507" s="72">
        <f t="shared" si="4117"/>
        <v>396</v>
      </c>
      <c r="CE507" s="71">
        <f t="shared" si="4118"/>
        <v>447</v>
      </c>
      <c r="CF507" s="72">
        <f t="shared" si="4119"/>
        <v>514</v>
      </c>
      <c r="CG507" s="71">
        <f t="shared" si="4120"/>
        <v>538</v>
      </c>
      <c r="CH507" s="75">
        <f t="shared" si="4121"/>
        <v>255</v>
      </c>
      <c r="CI507" s="71">
        <f t="shared" si="4122"/>
        <v>260</v>
      </c>
      <c r="CJ507" s="72">
        <f t="shared" si="4123"/>
        <v>285</v>
      </c>
      <c r="CK507" s="72" t="str">
        <f t="shared" si="4124"/>
        <v>-</v>
      </c>
      <c r="CL507" s="72">
        <f t="shared" si="4125"/>
        <v>345</v>
      </c>
      <c r="CM507" s="72" t="str">
        <f t="shared" si="4126"/>
        <v>-</v>
      </c>
      <c r="CN507" s="72">
        <f t="shared" si="4127"/>
        <v>379</v>
      </c>
      <c r="CO507" s="72">
        <f t="shared" si="4128"/>
        <v>392</v>
      </c>
      <c r="CP507" s="72">
        <f t="shared" si="4129"/>
        <v>433</v>
      </c>
      <c r="CQ507" s="72">
        <f t="shared" si="4130"/>
        <v>492</v>
      </c>
      <c r="CR507" s="72">
        <f t="shared" si="4131"/>
        <v>537</v>
      </c>
      <c r="CS507" s="72">
        <f t="shared" si="4132"/>
        <v>551</v>
      </c>
      <c r="CT507" s="23">
        <f t="shared" si="4133"/>
        <v>1</v>
      </c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/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  <c r="AKT507" s="3"/>
      <c r="AKU507" s="3"/>
      <c r="AKV507" s="3"/>
      <c r="AKW507" s="3"/>
      <c r="AKX507" s="3"/>
      <c r="AKY507" s="3"/>
      <c r="AKZ507" s="3"/>
      <c r="ALA507" s="3"/>
      <c r="ALB507" s="3"/>
      <c r="ALC507" s="3"/>
      <c r="ALD507" s="3"/>
      <c r="ALE507" s="3"/>
      <c r="ALF507" s="3"/>
      <c r="ALG507" s="3"/>
      <c r="ALH507" s="3"/>
      <c r="ALI507" s="3"/>
      <c r="ALJ507" s="3"/>
      <c r="ALK507" s="3"/>
      <c r="ALL507" s="3"/>
      <c r="ALM507" s="3"/>
      <c r="ALN507" s="3"/>
      <c r="ALO507" s="3"/>
      <c r="ALP507" s="3"/>
      <c r="ALQ507" s="3"/>
      <c r="ALR507" s="3"/>
      <c r="ALS507" s="3"/>
      <c r="ALT507" s="3"/>
      <c r="ALU507" s="3"/>
      <c r="ALV507" s="3"/>
      <c r="ALW507" s="3"/>
      <c r="ALX507" s="3"/>
      <c r="ALY507" s="3"/>
      <c r="ALZ507" s="3"/>
      <c r="AMA507" s="3"/>
      <c r="AMB507" s="3"/>
      <c r="AMC507" s="3"/>
      <c r="AMD507" s="3"/>
      <c r="AME507" s="3"/>
      <c r="AMF507" s="3"/>
      <c r="AMG507" s="3"/>
      <c r="AMH507" s="3"/>
      <c r="AMI507" s="3"/>
      <c r="AMJ507" s="3"/>
      <c r="AMK507" s="3"/>
      <c r="AML507" s="3"/>
      <c r="AMM507" s="3"/>
      <c r="AMN507" s="3"/>
      <c r="AMO507" s="3"/>
      <c r="AMP507" s="1"/>
    </row>
    <row r="508" spans="1:1030" s="6" customFormat="1" x14ac:dyDescent="0.2">
      <c r="A508" s="3" t="str">
        <f t="shared" si="4218"/>
        <v>smo_human_5L7D</v>
      </c>
      <c r="B508" s="3" t="s">
        <v>33</v>
      </c>
      <c r="C508" s="3" t="s">
        <v>1348</v>
      </c>
      <c r="D508" s="3" t="str">
        <f>IFERROR(MID(VLOOKUP($B508,Seqs!$A:$B,2,0),E508,1),"")</f>
        <v>T</v>
      </c>
      <c r="E508" s="105">
        <v>223</v>
      </c>
      <c r="F508" s="3" t="str">
        <f>IFERROR(MID(VLOOKUP($B508,Seqs!$A:$B,2,0),G508,1),"")</f>
        <v>D</v>
      </c>
      <c r="G508" s="3">
        <v>255</v>
      </c>
      <c r="H508" s="3" t="str">
        <f>IFERROR(MID(VLOOKUP($B508,Seqs!$A:$B,2,0),I508,1),"")</f>
        <v>W</v>
      </c>
      <c r="I508" s="23">
        <v>256</v>
      </c>
      <c r="J508" s="3" t="str">
        <f>IFERROR(MID(VLOOKUP($B508,Seqs!$A:$B,2,0),K508,1),"")</f>
        <v>N</v>
      </c>
      <c r="K508" s="23">
        <v>260</v>
      </c>
      <c r="L508" s="3" t="str">
        <f>IFERROR(MID(VLOOKUP($B508,Seqs!$A:$B,2,0),M508,1),"")</f>
        <v>R</v>
      </c>
      <c r="M508" s="3">
        <v>261</v>
      </c>
      <c r="N508" s="3" t="str">
        <f>IFERROR(MID(VLOOKUP($B508,Seqs!$A:$B,2,0),O508,1),"")</f>
        <v>F</v>
      </c>
      <c r="O508" s="3">
        <v>285</v>
      </c>
      <c r="P508" s="3" t="str">
        <f>IFERROR(MID(VLOOKUP($B508,Seqs!$A:$B,2,0),Q508,1),"")</f>
        <v/>
      </c>
      <c r="Q508" s="3" t="s">
        <v>23</v>
      </c>
      <c r="R508" s="3" t="str">
        <f>IFERROR(MID(VLOOKUP($B508,Seqs!$A:$B,2,0),S508,1),"")</f>
        <v/>
      </c>
      <c r="S508" s="3" t="s">
        <v>23</v>
      </c>
      <c r="T508" s="3" t="str">
        <f>IFERROR(MID(VLOOKUP($B508,Seqs!$A:$B,2,0),U508,1),"")</f>
        <v>L</v>
      </c>
      <c r="U508" s="3">
        <v>312</v>
      </c>
      <c r="V508" s="3" t="str">
        <f>IFERROR(MID(VLOOKUP($B508,Seqs!$A:$B,2,0),W508,1),"")</f>
        <v>L</v>
      </c>
      <c r="W508" s="3">
        <v>346</v>
      </c>
      <c r="X508" s="3" t="str">
        <f>IFERROR(MID(VLOOKUP($B508,Seqs!$A:$B,2,0),Y508,1),"")</f>
        <v/>
      </c>
      <c r="Y508" s="3" t="s">
        <v>23</v>
      </c>
      <c r="Z508" s="3" t="str">
        <f>IFERROR(MID(VLOOKUP($B508,Seqs!$A:$B,2,0),AA508,1),"")</f>
        <v/>
      </c>
      <c r="AA508" s="3" t="s">
        <v>23</v>
      </c>
      <c r="AB508" s="3" t="str">
        <f>IFERROR(MID(VLOOKUP($B508,Seqs!$A:$B,2,0),AC508,1),"")</f>
        <v>K</v>
      </c>
      <c r="AC508" s="9">
        <v>356</v>
      </c>
      <c r="AD508" s="3" t="str">
        <f>IFERROR(MID(VLOOKUP($B508,Seqs!$A:$B,2,0),AE508,1),"")</f>
        <v>V</v>
      </c>
      <c r="AE508" s="3">
        <v>378</v>
      </c>
      <c r="AF508" s="3" t="str">
        <f>IFERROR(MID(VLOOKUP($B508,Seqs!$A:$B,2,0),AG508,1),"")</f>
        <v>C</v>
      </c>
      <c r="AG508" s="3">
        <v>390</v>
      </c>
      <c r="AH508" s="3" t="str">
        <f>IFERROR(MID(VLOOKUP($B508,Seqs!$A:$B,2,0),AI508,1),"")</f>
        <v>V</v>
      </c>
      <c r="AI508" s="3">
        <v>392</v>
      </c>
      <c r="AJ508" s="3" t="str">
        <f>IFERROR(MID(VLOOKUP($B508,Seqs!$A:$B,2,0),AK508,1),"")</f>
        <v>N</v>
      </c>
      <c r="AK508" s="105">
        <v>396</v>
      </c>
      <c r="AL508" s="3" t="str">
        <f>IFERROR(MID(VLOOKUP($B508,Seqs!$A:$B,2,0),AM508,1),"")</f>
        <v>S</v>
      </c>
      <c r="AM508" s="3">
        <v>428</v>
      </c>
      <c r="AN508" s="3" t="str">
        <f>IFERROR(MID(VLOOKUP($B508,Seqs!$A:$B,2,0),AO508,1),"")</f>
        <v>E</v>
      </c>
      <c r="AO508" s="3">
        <v>447</v>
      </c>
      <c r="AP508" s="3" t="str">
        <f>IFERROR(MID(VLOOKUP($B508,Seqs!$A:$B,2,0),AQ508,1),"")</f>
        <v>I</v>
      </c>
      <c r="AQ508" s="3">
        <v>496</v>
      </c>
      <c r="AR508" s="3" t="str">
        <f>IFERROR(MID(VLOOKUP($B508,Seqs!$A:$B,2,0),AS508,1),"")</f>
        <v>S</v>
      </c>
      <c r="AS508" s="105">
        <v>514</v>
      </c>
      <c r="AT508" s="3" t="str">
        <f>IFERROR(MID(VLOOKUP($B508,Seqs!$A:$B,2,0),AU508,1),"")</f>
        <v>W</v>
      </c>
      <c r="AU508" s="3">
        <v>537</v>
      </c>
      <c r="AV508" s="3" t="str">
        <f>IFERROR(MID(VLOOKUP($B508,Seqs!$A:$B,2,0),AW508,1),"")</f>
        <v>T</v>
      </c>
      <c r="AW508" s="3">
        <v>538</v>
      </c>
      <c r="AX508" s="3" t="str">
        <f>IFERROR(MID(VLOOKUP($B508,Seqs!$A:$B,2,0),AY508,1),"")</f>
        <v>T</v>
      </c>
      <c r="AY508" s="3">
        <v>553</v>
      </c>
      <c r="AZ508" s="78" t="str">
        <f>VLOOKUP(B508,Classification!A:D,2,0)</f>
        <v>F</v>
      </c>
      <c r="BA508" s="94" t="str">
        <f>VLOOKUP(B508,Classification!A:D,4,0)</f>
        <v>Frizzled</v>
      </c>
      <c r="BB508" s="92" t="b">
        <f t="shared" si="4219"/>
        <v>1</v>
      </c>
      <c r="BC508" s="23">
        <f t="shared" si="4108"/>
        <v>249</v>
      </c>
      <c r="BD508" s="74" t="s">
        <v>1372</v>
      </c>
      <c r="BE508" s="3" t="s">
        <v>1370</v>
      </c>
      <c r="BF508" s="118">
        <v>3.2</v>
      </c>
      <c r="BG508" s="49" t="s">
        <v>1277</v>
      </c>
      <c r="BH508" s="49" t="s">
        <v>1373</v>
      </c>
      <c r="BI508" s="3"/>
      <c r="BJ508" s="75" t="s">
        <v>1283</v>
      </c>
      <c r="BK508" s="57" t="s">
        <v>1283</v>
      </c>
      <c r="BL508" s="57" t="s">
        <v>1283</v>
      </c>
      <c r="BM508" s="57" t="s">
        <v>1283</v>
      </c>
      <c r="BN508" s="57" t="s">
        <v>1283</v>
      </c>
      <c r="BO508" s="57" t="s">
        <v>1283</v>
      </c>
      <c r="BP508" s="57" t="s">
        <v>1283</v>
      </c>
      <c r="BQ508" s="57" t="s">
        <v>1283</v>
      </c>
      <c r="BR508" s="57" t="s">
        <v>1283</v>
      </c>
      <c r="BS508" s="57" t="s">
        <v>1283</v>
      </c>
      <c r="BT508" s="57" t="s">
        <v>1283</v>
      </c>
      <c r="BU508" s="57" t="s">
        <v>1283</v>
      </c>
      <c r="BV508" s="75">
        <f t="shared" si="4109"/>
        <v>223</v>
      </c>
      <c r="BW508" s="71">
        <f t="shared" si="4110"/>
        <v>256</v>
      </c>
      <c r="BX508" s="72">
        <f t="shared" si="4111"/>
        <v>261</v>
      </c>
      <c r="BY508" s="71" t="str">
        <f t="shared" si="4112"/>
        <v>-</v>
      </c>
      <c r="BZ508" s="72">
        <f t="shared" si="4113"/>
        <v>312</v>
      </c>
      <c r="CA508" s="71" t="str">
        <f t="shared" si="4114"/>
        <v>-</v>
      </c>
      <c r="CB508" s="72">
        <f t="shared" si="4115"/>
        <v>356</v>
      </c>
      <c r="CC508" s="71">
        <f t="shared" si="4116"/>
        <v>390</v>
      </c>
      <c r="CD508" s="72">
        <f t="shared" si="4117"/>
        <v>396</v>
      </c>
      <c r="CE508" s="71">
        <f t="shared" si="4118"/>
        <v>447</v>
      </c>
      <c r="CF508" s="72">
        <f t="shared" si="4119"/>
        <v>514</v>
      </c>
      <c r="CG508" s="71">
        <f t="shared" si="4120"/>
        <v>538</v>
      </c>
      <c r="CH508" s="75">
        <f t="shared" si="4121"/>
        <v>255</v>
      </c>
      <c r="CI508" s="71">
        <f t="shared" si="4122"/>
        <v>260</v>
      </c>
      <c r="CJ508" s="72">
        <f t="shared" si="4123"/>
        <v>285</v>
      </c>
      <c r="CK508" s="72" t="str">
        <f t="shared" si="4124"/>
        <v>-</v>
      </c>
      <c r="CL508" s="72">
        <f t="shared" si="4125"/>
        <v>346</v>
      </c>
      <c r="CM508" s="72" t="str">
        <f t="shared" si="4126"/>
        <v>-</v>
      </c>
      <c r="CN508" s="72">
        <f t="shared" si="4127"/>
        <v>378</v>
      </c>
      <c r="CO508" s="72">
        <f t="shared" si="4128"/>
        <v>392</v>
      </c>
      <c r="CP508" s="72">
        <f t="shared" si="4129"/>
        <v>428</v>
      </c>
      <c r="CQ508" s="72">
        <f t="shared" si="4130"/>
        <v>496</v>
      </c>
      <c r="CR508" s="72">
        <f t="shared" si="4131"/>
        <v>537</v>
      </c>
      <c r="CS508" s="72">
        <f t="shared" si="4132"/>
        <v>553</v>
      </c>
      <c r="CT508" s="23">
        <f t="shared" si="4133"/>
        <v>1</v>
      </c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  <c r="AKT508" s="3"/>
      <c r="AKU508" s="3"/>
      <c r="AKV508" s="3"/>
      <c r="AKW508" s="3"/>
      <c r="AKX508" s="3"/>
      <c r="AKY508" s="3"/>
      <c r="AKZ508" s="3"/>
      <c r="ALA508" s="3"/>
      <c r="ALB508" s="3"/>
      <c r="ALC508" s="3"/>
      <c r="ALD508" s="3"/>
      <c r="ALE508" s="3"/>
      <c r="ALF508" s="3"/>
      <c r="ALG508" s="3"/>
      <c r="ALH508" s="3"/>
      <c r="ALI508" s="3"/>
      <c r="ALJ508" s="3"/>
      <c r="ALK508" s="3"/>
      <c r="ALL508" s="3"/>
      <c r="ALM508" s="3"/>
      <c r="ALN508" s="3"/>
      <c r="ALO508" s="3"/>
      <c r="ALP508" s="3"/>
      <c r="ALQ508" s="3"/>
      <c r="ALR508" s="3"/>
      <c r="ALS508" s="3"/>
      <c r="ALT508" s="3"/>
      <c r="ALU508" s="3"/>
      <c r="ALV508" s="3"/>
      <c r="ALW508" s="3"/>
      <c r="ALX508" s="3"/>
      <c r="ALY508" s="3"/>
      <c r="ALZ508" s="3"/>
      <c r="AMA508" s="3"/>
      <c r="AMB508" s="3"/>
      <c r="AMC508" s="3"/>
      <c r="AMD508" s="3"/>
      <c r="AME508" s="3"/>
      <c r="AMF508" s="3"/>
      <c r="AMG508" s="3"/>
      <c r="AMH508" s="3"/>
      <c r="AMI508" s="3"/>
      <c r="AMJ508" s="3"/>
      <c r="AMK508" s="3"/>
      <c r="AML508" s="3"/>
      <c r="AMM508" s="3"/>
      <c r="AMN508" s="3"/>
      <c r="AMO508" s="3"/>
      <c r="AMP508" s="1"/>
    </row>
    <row r="509" spans="1:1030" s="6" customFormat="1" x14ac:dyDescent="0.2">
      <c r="A509" s="3" t="str">
        <f t="shared" si="4218"/>
        <v>smo_human_5L7I</v>
      </c>
      <c r="B509" s="3" t="s">
        <v>33</v>
      </c>
      <c r="C509" s="3" t="s">
        <v>1349</v>
      </c>
      <c r="D509" s="3" t="str">
        <f>IFERROR(MID(VLOOKUP($B509,Seqs!$A:$B,2,0),E509,1),"")</f>
        <v>T</v>
      </c>
      <c r="E509" s="105">
        <v>223</v>
      </c>
      <c r="F509" s="3" t="str">
        <f>IFERROR(MID(VLOOKUP($B509,Seqs!$A:$B,2,0),G509,1),"")</f>
        <v>D</v>
      </c>
      <c r="G509" s="3">
        <v>255</v>
      </c>
      <c r="H509" s="3" t="str">
        <f>IFERROR(MID(VLOOKUP($B509,Seqs!$A:$B,2,0),I509,1),"")</f>
        <v>W</v>
      </c>
      <c r="I509" s="23">
        <v>256</v>
      </c>
      <c r="J509" s="3" t="str">
        <f>IFERROR(MID(VLOOKUP($B509,Seqs!$A:$B,2,0),K509,1),"")</f>
        <v>N</v>
      </c>
      <c r="K509" s="23">
        <v>260</v>
      </c>
      <c r="L509" s="3" t="str">
        <f>IFERROR(MID(VLOOKUP($B509,Seqs!$A:$B,2,0),M509,1),"")</f>
        <v>R</v>
      </c>
      <c r="M509" s="3">
        <v>261</v>
      </c>
      <c r="N509" s="3" t="str">
        <f>IFERROR(MID(VLOOKUP($B509,Seqs!$A:$B,2,0),O509,1),"")</f>
        <v>F</v>
      </c>
      <c r="O509" s="3">
        <v>285</v>
      </c>
      <c r="P509" s="3" t="str">
        <f>IFERROR(MID(VLOOKUP($B509,Seqs!$A:$B,2,0),Q509,1),"")</f>
        <v/>
      </c>
      <c r="Q509" s="3" t="s">
        <v>23</v>
      </c>
      <c r="R509" s="3" t="str">
        <f>IFERROR(MID(VLOOKUP($B509,Seqs!$A:$B,2,0),S509,1),"")</f>
        <v/>
      </c>
      <c r="S509" s="3" t="s">
        <v>23</v>
      </c>
      <c r="T509" s="3" t="str">
        <f>IFERROR(MID(VLOOKUP($B509,Seqs!$A:$B,2,0),U509,1),"")</f>
        <v>L</v>
      </c>
      <c r="U509" s="3">
        <v>312</v>
      </c>
      <c r="V509" s="3" t="str">
        <f>IFERROR(MID(VLOOKUP($B509,Seqs!$A:$B,2,0),W509,1),"")</f>
        <v>L</v>
      </c>
      <c r="W509" s="3">
        <v>346</v>
      </c>
      <c r="X509" s="3" t="str">
        <f>IFERROR(MID(VLOOKUP($B509,Seqs!$A:$B,2,0),Y509,1),"")</f>
        <v/>
      </c>
      <c r="Y509" s="3" t="s">
        <v>23</v>
      </c>
      <c r="Z509" s="3" t="str">
        <f>IFERROR(MID(VLOOKUP($B509,Seqs!$A:$B,2,0),AA509,1),"")</f>
        <v/>
      </c>
      <c r="AA509" s="3" t="s">
        <v>23</v>
      </c>
      <c r="AB509" s="3" t="str">
        <f>IFERROR(MID(VLOOKUP($B509,Seqs!$A:$B,2,0),AC509,1),"")</f>
        <v>K</v>
      </c>
      <c r="AC509" s="9">
        <v>356</v>
      </c>
      <c r="AD509" s="3" t="str">
        <f>IFERROR(MID(VLOOKUP($B509,Seqs!$A:$B,2,0),AE509,1),"")</f>
        <v>V</v>
      </c>
      <c r="AE509" s="3">
        <v>378</v>
      </c>
      <c r="AF509" s="3" t="str">
        <f>IFERROR(MID(VLOOKUP($B509,Seqs!$A:$B,2,0),AG509,1),"")</f>
        <v>C</v>
      </c>
      <c r="AG509" s="3">
        <v>390</v>
      </c>
      <c r="AH509" s="3" t="str">
        <f>IFERROR(MID(VLOOKUP($B509,Seqs!$A:$B,2,0),AI509,1),"")</f>
        <v>V</v>
      </c>
      <c r="AI509" s="3">
        <v>392</v>
      </c>
      <c r="AJ509" s="3" t="str">
        <f>IFERROR(MID(VLOOKUP($B509,Seqs!$A:$B,2,0),AK509,1),"")</f>
        <v>N</v>
      </c>
      <c r="AK509" s="105">
        <v>396</v>
      </c>
      <c r="AL509" s="3" t="str">
        <f>IFERROR(MID(VLOOKUP($B509,Seqs!$A:$B,2,0),AM509,1),"")</f>
        <v>S</v>
      </c>
      <c r="AM509" s="3">
        <v>428</v>
      </c>
      <c r="AN509" s="3" t="str">
        <f>IFERROR(MID(VLOOKUP($B509,Seqs!$A:$B,2,0),AO509,1),"")</f>
        <v>E</v>
      </c>
      <c r="AO509" s="3">
        <v>447</v>
      </c>
      <c r="AP509" s="3" t="str">
        <f>IFERROR(MID(VLOOKUP($B509,Seqs!$A:$B,2,0),AQ509,1),"")</f>
        <v>N</v>
      </c>
      <c r="AQ509" s="3">
        <v>493</v>
      </c>
      <c r="AR509" s="3" t="str">
        <f>IFERROR(MID(VLOOKUP($B509,Seqs!$A:$B,2,0),AS509,1),"")</f>
        <v>S</v>
      </c>
      <c r="AS509" s="105">
        <v>514</v>
      </c>
      <c r="AT509" s="3" t="str">
        <f>IFERROR(MID(VLOOKUP($B509,Seqs!$A:$B,2,0),AU509,1),"")</f>
        <v>W</v>
      </c>
      <c r="AU509" s="3">
        <v>537</v>
      </c>
      <c r="AV509" s="3" t="str">
        <f>IFERROR(MID(VLOOKUP($B509,Seqs!$A:$B,2,0),AW509,1),"")</f>
        <v>T</v>
      </c>
      <c r="AW509" s="3">
        <v>538</v>
      </c>
      <c r="AX509" s="3" t="str">
        <f>IFERROR(MID(VLOOKUP($B509,Seqs!$A:$B,2,0),AY509,1),"")</f>
        <v>R</v>
      </c>
      <c r="AY509" s="3">
        <v>551</v>
      </c>
      <c r="AZ509" s="78" t="str">
        <f>VLOOKUP(B509,Classification!A:D,2,0)</f>
        <v>F</v>
      </c>
      <c r="BA509" s="94" t="str">
        <f>VLOOKUP(B509,Classification!A:D,4,0)</f>
        <v>Frizzled</v>
      </c>
      <c r="BB509" s="92" t="b">
        <f t="shared" si="4219"/>
        <v>1</v>
      </c>
      <c r="BC509" s="23">
        <f t="shared" si="4108"/>
        <v>244</v>
      </c>
      <c r="BD509" s="74" t="s">
        <v>23</v>
      </c>
      <c r="BE509" s="3" t="s">
        <v>1370</v>
      </c>
      <c r="BF509" s="118">
        <v>3.3</v>
      </c>
      <c r="BG509" s="49" t="s">
        <v>1277</v>
      </c>
      <c r="BH509" s="49" t="s">
        <v>1373</v>
      </c>
      <c r="BI509" s="3" t="s">
        <v>1357</v>
      </c>
      <c r="BJ509" s="75" t="s">
        <v>1283</v>
      </c>
      <c r="BK509" s="57" t="s">
        <v>1283</v>
      </c>
      <c r="BL509" s="57" t="s">
        <v>1283</v>
      </c>
      <c r="BM509" s="57" t="s">
        <v>1283</v>
      </c>
      <c r="BN509" s="57" t="s">
        <v>1283</v>
      </c>
      <c r="BO509" s="57" t="s">
        <v>1283</v>
      </c>
      <c r="BP509" s="57" t="s">
        <v>1283</v>
      </c>
      <c r="BQ509" s="57" t="s">
        <v>1283</v>
      </c>
      <c r="BR509" s="57" t="s">
        <v>1283</v>
      </c>
      <c r="BS509" s="57" t="s">
        <v>1283</v>
      </c>
      <c r="BT509" s="57" t="s">
        <v>1283</v>
      </c>
      <c r="BU509" s="57" t="s">
        <v>1283</v>
      </c>
      <c r="BV509" s="75">
        <f t="shared" si="4109"/>
        <v>223</v>
      </c>
      <c r="BW509" s="71">
        <f t="shared" si="4110"/>
        <v>256</v>
      </c>
      <c r="BX509" s="72">
        <f t="shared" si="4111"/>
        <v>261</v>
      </c>
      <c r="BY509" s="71" t="str">
        <f t="shared" si="4112"/>
        <v>-</v>
      </c>
      <c r="BZ509" s="72">
        <f t="shared" si="4113"/>
        <v>312</v>
      </c>
      <c r="CA509" s="71" t="str">
        <f t="shared" si="4114"/>
        <v>-</v>
      </c>
      <c r="CB509" s="72">
        <f t="shared" si="4115"/>
        <v>356</v>
      </c>
      <c r="CC509" s="71">
        <f t="shared" si="4116"/>
        <v>390</v>
      </c>
      <c r="CD509" s="72">
        <f t="shared" si="4117"/>
        <v>396</v>
      </c>
      <c r="CE509" s="71">
        <f t="shared" si="4118"/>
        <v>447</v>
      </c>
      <c r="CF509" s="72">
        <f t="shared" si="4119"/>
        <v>514</v>
      </c>
      <c r="CG509" s="71">
        <f t="shared" si="4120"/>
        <v>538</v>
      </c>
      <c r="CH509" s="75">
        <f t="shared" si="4121"/>
        <v>255</v>
      </c>
      <c r="CI509" s="71">
        <f t="shared" si="4122"/>
        <v>260</v>
      </c>
      <c r="CJ509" s="72">
        <f t="shared" si="4123"/>
        <v>285</v>
      </c>
      <c r="CK509" s="72" t="str">
        <f t="shared" si="4124"/>
        <v>-</v>
      </c>
      <c r="CL509" s="72">
        <f t="shared" si="4125"/>
        <v>346</v>
      </c>
      <c r="CM509" s="72" t="str">
        <f t="shared" si="4126"/>
        <v>-</v>
      </c>
      <c r="CN509" s="72">
        <f t="shared" si="4127"/>
        <v>378</v>
      </c>
      <c r="CO509" s="72">
        <f t="shared" si="4128"/>
        <v>392</v>
      </c>
      <c r="CP509" s="72">
        <f t="shared" si="4129"/>
        <v>428</v>
      </c>
      <c r="CQ509" s="72">
        <f t="shared" si="4130"/>
        <v>493</v>
      </c>
      <c r="CR509" s="72">
        <f t="shared" si="4131"/>
        <v>537</v>
      </c>
      <c r="CS509" s="72">
        <f t="shared" si="4132"/>
        <v>551</v>
      </c>
      <c r="CT509" s="23">
        <f t="shared" si="4133"/>
        <v>1</v>
      </c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/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/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/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/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/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  <c r="AKT509" s="3"/>
      <c r="AKU509" s="3"/>
      <c r="AKV509" s="3"/>
      <c r="AKW509" s="3"/>
      <c r="AKX509" s="3"/>
      <c r="AKY509" s="3"/>
      <c r="AKZ509" s="3"/>
      <c r="ALA509" s="3"/>
      <c r="ALB509" s="3"/>
      <c r="ALC509" s="3"/>
      <c r="ALD509" s="3"/>
      <c r="ALE509" s="3"/>
      <c r="ALF509" s="3"/>
      <c r="ALG509" s="3"/>
      <c r="ALH509" s="3"/>
      <c r="ALI509" s="3"/>
      <c r="ALJ509" s="3"/>
      <c r="ALK509" s="3"/>
      <c r="ALL509" s="3"/>
      <c r="ALM509" s="3"/>
      <c r="ALN509" s="3"/>
      <c r="ALO509" s="3"/>
      <c r="ALP509" s="3"/>
      <c r="ALQ509" s="3"/>
      <c r="ALR509" s="3"/>
      <c r="ALS509" s="3"/>
      <c r="ALT509" s="3"/>
      <c r="ALU509" s="3"/>
      <c r="ALV509" s="3"/>
      <c r="ALW509" s="3"/>
      <c r="ALX509" s="3"/>
      <c r="ALY509" s="3"/>
      <c r="ALZ509" s="3"/>
      <c r="AMA509" s="3"/>
      <c r="AMB509" s="3"/>
      <c r="AMC509" s="3"/>
      <c r="AMD509" s="3"/>
      <c r="AME509" s="3"/>
      <c r="AMF509" s="3"/>
      <c r="AMG509" s="3"/>
      <c r="AMH509" s="3"/>
      <c r="AMI509" s="3"/>
      <c r="AMJ509" s="3"/>
      <c r="AMK509" s="3"/>
      <c r="AML509" s="3"/>
      <c r="AMM509" s="3"/>
      <c r="AMN509" s="3"/>
      <c r="AMO509" s="3"/>
      <c r="AMP509" s="1"/>
    </row>
    <row r="510" spans="1:1030" x14ac:dyDescent="0.2">
      <c r="A510" s="3" t="str">
        <f t="shared" ref="A510:A517" si="5088">CONCATENATE(B510,"_",C510)</f>
        <v>smo_human_5V56</v>
      </c>
      <c r="B510" s="3" t="s">
        <v>33</v>
      </c>
      <c r="C510" s="3" t="s">
        <v>1473</v>
      </c>
      <c r="D510" s="3" t="str">
        <f>IFERROR(MID(VLOOKUP($B510,Seqs!$A:$B,2,0),E510,1),"")</f>
        <v>T</v>
      </c>
      <c r="E510" s="3">
        <v>223</v>
      </c>
      <c r="F510" s="3" t="str">
        <f>IFERROR(MID(VLOOKUP($B510,Seqs!$A:$B,2,0),G510,1),"")</f>
        <v>D</v>
      </c>
      <c r="G510" s="3">
        <v>255</v>
      </c>
      <c r="H510" s="3" t="str">
        <f>IFERROR(MID(VLOOKUP($B510,Seqs!$A:$B,2,0),I510,1),"")</f>
        <v>W</v>
      </c>
      <c r="I510" s="23">
        <v>256</v>
      </c>
      <c r="J510" s="3" t="str">
        <f>IFERROR(MID(VLOOKUP($B510,Seqs!$A:$B,2,0),K510,1),"")</f>
        <v>N</v>
      </c>
      <c r="K510" s="23">
        <v>260</v>
      </c>
      <c r="L510" s="3" t="str">
        <f>IFERROR(MID(VLOOKUP($B510,Seqs!$A:$B,2,0),M510,1),"")</f>
        <v>R</v>
      </c>
      <c r="M510" s="3">
        <v>261</v>
      </c>
      <c r="N510" s="3" t="str">
        <f>IFERROR(MID(VLOOKUP($B510,Seqs!$A:$B,2,0),O510,1),"")</f>
        <v>F</v>
      </c>
      <c r="O510" s="3">
        <v>285</v>
      </c>
      <c r="P510" s="3" t="str">
        <f>IFERROR(MID(VLOOKUP($B510,Seqs!$A:$B,2,0),Q510,1),"")</f>
        <v/>
      </c>
      <c r="Q510" s="3" t="s">
        <v>23</v>
      </c>
      <c r="R510" s="3" t="str">
        <f>IFERROR(MID(VLOOKUP($B510,Seqs!$A:$B,2,0),S510,1),"")</f>
        <v/>
      </c>
      <c r="S510" s="3" t="s">
        <v>23</v>
      </c>
      <c r="T510" s="3" t="str">
        <f>IFERROR(MID(VLOOKUP($B510,Seqs!$A:$B,2,0),U510,1),"")</f>
        <v>L</v>
      </c>
      <c r="U510" s="3">
        <v>312</v>
      </c>
      <c r="V510" s="3" t="str">
        <f>IFERROR(MID(VLOOKUP($B510,Seqs!$A:$B,2,0),W510,1),"")</f>
        <v>S</v>
      </c>
      <c r="W510" s="3">
        <v>342</v>
      </c>
      <c r="X510" s="3" t="str">
        <f>IFERROR(MID(VLOOKUP($B510,Seqs!$A:$B,2,0),Y510,1),"")</f>
        <v/>
      </c>
      <c r="Y510" s="3" t="s">
        <v>23</v>
      </c>
      <c r="Z510" s="3" t="str">
        <f>IFERROR(MID(VLOOKUP($B510,Seqs!$A:$B,2,0),AA510,1),"")</f>
        <v/>
      </c>
      <c r="AA510" s="3" t="s">
        <v>23</v>
      </c>
      <c r="AB510" s="3" t="str">
        <f>IFERROR(MID(VLOOKUP($B510,Seqs!$A:$B,2,0),AC510,1),"")</f>
        <v>K</v>
      </c>
      <c r="AC510" s="3">
        <v>356</v>
      </c>
      <c r="AD510" s="3" t="str">
        <f>IFERROR(MID(VLOOKUP($B510,Seqs!$A:$B,2,0),AE510,1),"")</f>
        <v>V</v>
      </c>
      <c r="AE510" s="3">
        <v>378</v>
      </c>
      <c r="AF510" s="3" t="str">
        <f>IFERROR(MID(VLOOKUP($B510,Seqs!$A:$B,2,0),AG510,1),"")</f>
        <v>C</v>
      </c>
      <c r="AG510" s="3">
        <v>390</v>
      </c>
      <c r="AH510" s="3" t="str">
        <f>IFERROR(MID(VLOOKUP($B510,Seqs!$A:$B,2,0),AI510,1),"")</f>
        <v>V</v>
      </c>
      <c r="AI510" s="3">
        <v>392</v>
      </c>
      <c r="AJ510" s="3" t="str">
        <f>IFERROR(MID(VLOOKUP($B510,Seqs!$A:$B,2,0),AK510,1),"")</f>
        <v>N</v>
      </c>
      <c r="AK510" s="3">
        <v>396</v>
      </c>
      <c r="AL510" s="3" t="str">
        <f>IFERROR(MID(VLOOKUP($B510,Seqs!$A:$B,2,0),AM510,1),"")</f>
        <v>I</v>
      </c>
      <c r="AM510" s="3">
        <v>429</v>
      </c>
      <c r="AN510" s="3" t="str">
        <f>IFERROR(MID(VLOOKUP($B510,Seqs!$A:$B,2,0),AO510,1),"")</f>
        <v>N</v>
      </c>
      <c r="AO510" s="3">
        <v>446</v>
      </c>
      <c r="AP510" s="3" t="str">
        <f>IFERROR(MID(VLOOKUP($B510,Seqs!$A:$B,2,0),AQ510,1),"")</f>
        <v>N</v>
      </c>
      <c r="AQ510" s="3">
        <v>493</v>
      </c>
      <c r="AR510" s="3" t="str">
        <f>IFERROR(MID(VLOOKUP($B510,Seqs!$A:$B,2,0),AS510,1),"")</f>
        <v>S</v>
      </c>
      <c r="AS510" s="3">
        <v>514</v>
      </c>
      <c r="AT510" s="3" t="str">
        <f>IFERROR(MID(VLOOKUP($B510,Seqs!$A:$B,2,0),AU510,1),"")</f>
        <v>W</v>
      </c>
      <c r="AU510" s="3">
        <v>537</v>
      </c>
      <c r="AV510" s="3" t="str">
        <f>IFERROR(MID(VLOOKUP($B510,Seqs!$A:$B,2,0),AW510,1),"")</f>
        <v>T</v>
      </c>
      <c r="AW510" s="3">
        <v>538</v>
      </c>
      <c r="AX510" s="3" t="str">
        <f>IFERROR(MID(VLOOKUP($B510,Seqs!$A:$B,2,0),AY510,1),"")</f>
        <v>T</v>
      </c>
      <c r="AY510" s="3">
        <v>553</v>
      </c>
      <c r="AZ510" s="78" t="str">
        <f>VLOOKUP(B510,Classification!A:D,2,0)</f>
        <v>F</v>
      </c>
      <c r="BA510" s="94" t="str">
        <f>VLOOKUP(B510,Classification!A:D,4,0)</f>
        <v>Frizzled</v>
      </c>
      <c r="BB510" s="92" t="b">
        <f t="shared" ref="BB510:BB517" si="5089">AND(E510&lt;G510,OR(G510&lt;I510,I510="-"),OR(I510&lt;K510,I510="-"),OR(K510&lt;M510,K510="-"),M510&lt;O510,OR(O510&lt;Q510,Q510="-"),OR(Q510&lt;S510,Q510="-"),OR(S510&lt;U510,S510="-"),U510&lt;W510,OR(W510&lt;Y510,Y510="-"),OR(Y510&lt;AA510,Y510="-"),OR(AA510&lt;AC510,AA510="-"),AC510&lt;AE510,OR(AE510&lt;AG510,AG510="-"),OR(AG510&lt;AI510,AG510="-"),OR(AI510&lt;AK510,AI510="-"),AK510&lt;AM510,AM510&lt;AO510,AO510&lt;AQ510,AQ510&lt;AS510,AS510&lt;AU510,OR(AU510&lt;AW510,AW510="-"),OR(AW510&lt;AY510,AW510="-"))</f>
        <v>1</v>
      </c>
      <c r="BC510" s="23">
        <f t="shared" ref="BC510:BC517" si="5090">_xlfn.AGGREGATE(9,6,CH510:CS510)-_xlfn.AGGREGATE(9,6,BV510:CG510)+12</f>
        <v>244</v>
      </c>
      <c r="BD510" s="74" t="s">
        <v>23</v>
      </c>
      <c r="BE510" s="3" t="s">
        <v>1370</v>
      </c>
      <c r="BF510" s="118">
        <v>2.9</v>
      </c>
      <c r="BG510" s="49" t="s">
        <v>1277</v>
      </c>
      <c r="BH510" s="49" t="s">
        <v>1277</v>
      </c>
      <c r="BJ510" s="75" t="s">
        <v>1283</v>
      </c>
      <c r="BK510" s="57" t="s">
        <v>1283</v>
      </c>
      <c r="BL510" s="57" t="s">
        <v>1283</v>
      </c>
      <c r="BM510" s="57" t="s">
        <v>1283</v>
      </c>
      <c r="BN510" s="57" t="s">
        <v>1283</v>
      </c>
      <c r="BO510" s="57" t="s">
        <v>1283</v>
      </c>
      <c r="BP510" s="57" t="s">
        <v>1283</v>
      </c>
      <c r="BQ510" s="57" t="s">
        <v>1283</v>
      </c>
      <c r="BR510" s="57" t="s">
        <v>1283</v>
      </c>
      <c r="BS510" s="57" t="s">
        <v>1283</v>
      </c>
      <c r="BT510" s="57" t="s">
        <v>1283</v>
      </c>
      <c r="BU510" s="57" t="s">
        <v>1283</v>
      </c>
      <c r="BV510" s="75">
        <f t="shared" ref="BV510:BV517" si="5091">E510</f>
        <v>223</v>
      </c>
      <c r="BW510" s="71">
        <f t="shared" ref="BW510:BW517" si="5092">I510</f>
        <v>256</v>
      </c>
      <c r="BX510" s="72">
        <f t="shared" ref="BX510:BX517" si="5093">M510</f>
        <v>261</v>
      </c>
      <c r="BY510" s="71" t="str">
        <f t="shared" ref="BY510:BY517" si="5094">Q510</f>
        <v>-</v>
      </c>
      <c r="BZ510" s="72">
        <f t="shared" ref="BZ510:BZ517" si="5095">U510</f>
        <v>312</v>
      </c>
      <c r="CA510" s="71" t="str">
        <f t="shared" ref="CA510:CA517" si="5096">Y510</f>
        <v>-</v>
      </c>
      <c r="CB510" s="72">
        <f t="shared" ref="CB510:CB517" si="5097">AC510</f>
        <v>356</v>
      </c>
      <c r="CC510" s="71">
        <f t="shared" ref="CC510:CC517" si="5098">AG510</f>
        <v>390</v>
      </c>
      <c r="CD510" s="72">
        <f t="shared" ref="CD510:CD517" si="5099">AK510</f>
        <v>396</v>
      </c>
      <c r="CE510" s="71">
        <f t="shared" ref="CE510:CE517" si="5100">AO510</f>
        <v>446</v>
      </c>
      <c r="CF510" s="72">
        <f t="shared" ref="CF510:CF517" si="5101">AS510</f>
        <v>514</v>
      </c>
      <c r="CG510" s="71">
        <f t="shared" ref="CG510:CG517" si="5102">AW510</f>
        <v>538</v>
      </c>
      <c r="CH510" s="75">
        <f t="shared" ref="CH510:CH517" si="5103">G510</f>
        <v>255</v>
      </c>
      <c r="CI510" s="71">
        <f t="shared" ref="CI510:CI517" si="5104">K510</f>
        <v>260</v>
      </c>
      <c r="CJ510" s="72">
        <f t="shared" ref="CJ510:CJ517" si="5105">O510</f>
        <v>285</v>
      </c>
      <c r="CK510" s="72" t="str">
        <f t="shared" ref="CK510:CK517" si="5106">S510</f>
        <v>-</v>
      </c>
      <c r="CL510" s="72">
        <f t="shared" ref="CL510:CL517" si="5107">W510</f>
        <v>342</v>
      </c>
      <c r="CM510" s="72" t="str">
        <f t="shared" ref="CM510:CM517" si="5108">AA510</f>
        <v>-</v>
      </c>
      <c r="CN510" s="72">
        <f t="shared" ref="CN510:CN517" si="5109">AE510</f>
        <v>378</v>
      </c>
      <c r="CO510" s="72">
        <f t="shared" ref="CO510:CO517" si="5110">AI510</f>
        <v>392</v>
      </c>
      <c r="CP510" s="72">
        <f t="shared" ref="CP510:CP517" si="5111">AM510</f>
        <v>429</v>
      </c>
      <c r="CQ510" s="72">
        <f t="shared" ref="CQ510:CQ517" si="5112">AQ510</f>
        <v>493</v>
      </c>
      <c r="CR510" s="72">
        <f t="shared" ref="CR510:CR517" si="5113">AU510</f>
        <v>537</v>
      </c>
      <c r="CS510" s="72">
        <f t="shared" ref="CS510:CS517" si="5114">AY510</f>
        <v>553</v>
      </c>
      <c r="CT510" s="23">
        <f t="shared" ref="CT510:CT517" si="5115">M510-K510</f>
        <v>1</v>
      </c>
    </row>
    <row r="511" spans="1:1030" x14ac:dyDescent="0.2">
      <c r="A511" s="3" t="str">
        <f t="shared" si="5088"/>
        <v>smo_human_5V57</v>
      </c>
      <c r="B511" s="3" t="s">
        <v>33</v>
      </c>
      <c r="C511" s="3" t="s">
        <v>1474</v>
      </c>
      <c r="D511" s="3" t="str">
        <f>IFERROR(MID(VLOOKUP($B511,Seqs!$A:$B,2,0),E511,1),"")</f>
        <v>T</v>
      </c>
      <c r="E511" s="3">
        <v>223</v>
      </c>
      <c r="F511" s="3" t="str">
        <f>IFERROR(MID(VLOOKUP($B511,Seqs!$A:$B,2,0),G511,1),"")</f>
        <v>D</v>
      </c>
      <c r="G511" s="3">
        <v>255</v>
      </c>
      <c r="H511" s="3" t="str">
        <f>IFERROR(MID(VLOOKUP($B511,Seqs!$A:$B,2,0),I511,1),"")</f>
        <v>W</v>
      </c>
      <c r="I511" s="23">
        <v>256</v>
      </c>
      <c r="J511" s="3" t="str">
        <f>IFERROR(MID(VLOOKUP($B511,Seqs!$A:$B,2,0),K511,1),"")</f>
        <v>N</v>
      </c>
      <c r="K511" s="23">
        <v>260</v>
      </c>
      <c r="L511" s="3" t="str">
        <f>IFERROR(MID(VLOOKUP($B511,Seqs!$A:$B,2,0),M511,1),"")</f>
        <v>R</v>
      </c>
      <c r="M511" s="3">
        <v>261</v>
      </c>
      <c r="N511" s="3" t="str">
        <f>IFERROR(MID(VLOOKUP($B511,Seqs!$A:$B,2,0),O511,1),"")</f>
        <v>F</v>
      </c>
      <c r="O511" s="3">
        <v>285</v>
      </c>
      <c r="P511" s="3" t="str">
        <f>IFERROR(MID(VLOOKUP($B511,Seqs!$A:$B,2,0),Q511,1),"")</f>
        <v/>
      </c>
      <c r="Q511" s="3" t="s">
        <v>23</v>
      </c>
      <c r="R511" s="3" t="str">
        <f>IFERROR(MID(VLOOKUP($B511,Seqs!$A:$B,2,0),S511,1),"")</f>
        <v/>
      </c>
      <c r="S511" s="3" t="s">
        <v>23</v>
      </c>
      <c r="T511" s="3" t="str">
        <f>IFERROR(MID(VLOOKUP($B511,Seqs!$A:$B,2,0),U511,1),"")</f>
        <v>L</v>
      </c>
      <c r="U511" s="3">
        <v>312</v>
      </c>
      <c r="V511" s="3" t="str">
        <f>IFERROR(MID(VLOOKUP($B511,Seqs!$A:$B,2,0),W511,1),"")</f>
        <v>S</v>
      </c>
      <c r="W511" s="3">
        <v>342</v>
      </c>
      <c r="X511" s="3" t="str">
        <f>IFERROR(MID(VLOOKUP($B511,Seqs!$A:$B,2,0),Y511,1),"")</f>
        <v/>
      </c>
      <c r="Y511" s="3" t="s">
        <v>23</v>
      </c>
      <c r="Z511" s="3" t="str">
        <f>IFERROR(MID(VLOOKUP($B511,Seqs!$A:$B,2,0),AA511,1),"")</f>
        <v/>
      </c>
      <c r="AA511" s="3" t="s">
        <v>23</v>
      </c>
      <c r="AB511" s="3" t="str">
        <f>IFERROR(MID(VLOOKUP($B511,Seqs!$A:$B,2,0),AC511,1),"")</f>
        <v>T</v>
      </c>
      <c r="AC511" s="3">
        <v>357</v>
      </c>
      <c r="AD511" s="3" t="str">
        <f>IFERROR(MID(VLOOKUP($B511,Seqs!$A:$B,2,0),AE511,1),"")</f>
        <v>V</v>
      </c>
      <c r="AE511" s="3">
        <v>378</v>
      </c>
      <c r="AF511" s="3" t="str">
        <f>IFERROR(MID(VLOOKUP($B511,Seqs!$A:$B,2,0),AG511,1),"")</f>
        <v>C</v>
      </c>
      <c r="AG511" s="3">
        <v>390</v>
      </c>
      <c r="AH511" s="3" t="str">
        <f>IFERROR(MID(VLOOKUP($B511,Seqs!$A:$B,2,0),AI511,1),"")</f>
        <v>V</v>
      </c>
      <c r="AI511" s="3">
        <v>392</v>
      </c>
      <c r="AJ511" s="3" t="str">
        <f>IFERROR(MID(VLOOKUP($B511,Seqs!$A:$B,2,0),AK511,1),"")</f>
        <v>N</v>
      </c>
      <c r="AK511" s="3">
        <v>396</v>
      </c>
      <c r="AL511" s="3" t="str">
        <f>IFERROR(MID(VLOOKUP($B511,Seqs!$A:$B,2,0),AM511,1),"")</f>
        <v>N</v>
      </c>
      <c r="AM511" s="3">
        <v>432</v>
      </c>
      <c r="AN511" s="3" t="str">
        <f>IFERROR(MID(VLOOKUP($B511,Seqs!$A:$B,2,0),AO511,1),"")</f>
        <v>E</v>
      </c>
      <c r="AO511" s="3">
        <v>447</v>
      </c>
      <c r="AP511" s="3" t="str">
        <f>IFERROR(MID(VLOOKUP($B511,Seqs!$A:$B,2,0),AQ511,1),"")</f>
        <v>N</v>
      </c>
      <c r="AQ511" s="3">
        <v>493</v>
      </c>
      <c r="AR511" s="3" t="str">
        <f>IFERROR(MID(VLOOKUP($B511,Seqs!$A:$B,2,0),AS511,1),"")</f>
        <v>S</v>
      </c>
      <c r="AS511" s="3">
        <v>514</v>
      </c>
      <c r="AT511" s="3" t="str">
        <f>IFERROR(MID(VLOOKUP($B511,Seqs!$A:$B,2,0),AU511,1),"")</f>
        <v>W</v>
      </c>
      <c r="AU511" s="3">
        <v>537</v>
      </c>
      <c r="AV511" s="3" t="str">
        <f>IFERROR(MID(VLOOKUP($B511,Seqs!$A:$B,2,0),AW511,1),"")</f>
        <v>T</v>
      </c>
      <c r="AW511" s="3">
        <v>538</v>
      </c>
      <c r="AX511" s="3" t="str">
        <f>IFERROR(MID(VLOOKUP($B511,Seqs!$A:$B,2,0),AY511,1),"")</f>
        <v>G</v>
      </c>
      <c r="AY511" s="3">
        <v>554</v>
      </c>
      <c r="AZ511" s="78" t="str">
        <f>VLOOKUP(B511,Classification!A:D,2,0)</f>
        <v>F</v>
      </c>
      <c r="BA511" s="94" t="str">
        <f>VLOOKUP(B511,Classification!A:D,4,0)</f>
        <v>Frizzled</v>
      </c>
      <c r="BB511" s="92" t="b">
        <f t="shared" si="5089"/>
        <v>1</v>
      </c>
      <c r="BC511" s="23">
        <f t="shared" si="5090"/>
        <v>246</v>
      </c>
      <c r="BD511" s="74" t="s">
        <v>23</v>
      </c>
      <c r="BE511" s="3" t="s">
        <v>1370</v>
      </c>
      <c r="BF511" s="118">
        <v>3</v>
      </c>
      <c r="BG511" s="49" t="s">
        <v>1</v>
      </c>
      <c r="BH511" s="49" t="s">
        <v>1</v>
      </c>
      <c r="BJ511" s="75" t="s">
        <v>1283</v>
      </c>
      <c r="BK511" s="57" t="s">
        <v>1283</v>
      </c>
      <c r="BL511" s="57" t="s">
        <v>1283</v>
      </c>
      <c r="BM511" s="57" t="s">
        <v>1283</v>
      </c>
      <c r="BN511" s="57" t="s">
        <v>1283</v>
      </c>
      <c r="BO511" s="57" t="s">
        <v>1283</v>
      </c>
      <c r="BP511" s="57" t="s">
        <v>1283</v>
      </c>
      <c r="BQ511" s="57" t="s">
        <v>1283</v>
      </c>
      <c r="BR511" s="57" t="s">
        <v>1283</v>
      </c>
      <c r="BS511" s="57" t="s">
        <v>1283</v>
      </c>
      <c r="BT511" s="57" t="s">
        <v>1283</v>
      </c>
      <c r="BU511" s="57" t="s">
        <v>1283</v>
      </c>
      <c r="BV511" s="75">
        <f t="shared" si="5091"/>
        <v>223</v>
      </c>
      <c r="BW511" s="71">
        <f t="shared" si="5092"/>
        <v>256</v>
      </c>
      <c r="BX511" s="72">
        <f t="shared" si="5093"/>
        <v>261</v>
      </c>
      <c r="BY511" s="71" t="str">
        <f t="shared" si="5094"/>
        <v>-</v>
      </c>
      <c r="BZ511" s="72">
        <f t="shared" si="5095"/>
        <v>312</v>
      </c>
      <c r="CA511" s="71" t="str">
        <f t="shared" si="5096"/>
        <v>-</v>
      </c>
      <c r="CB511" s="72">
        <f t="shared" si="5097"/>
        <v>357</v>
      </c>
      <c r="CC511" s="71">
        <f t="shared" si="5098"/>
        <v>390</v>
      </c>
      <c r="CD511" s="72">
        <f t="shared" si="5099"/>
        <v>396</v>
      </c>
      <c r="CE511" s="71">
        <f t="shared" si="5100"/>
        <v>447</v>
      </c>
      <c r="CF511" s="72">
        <f t="shared" si="5101"/>
        <v>514</v>
      </c>
      <c r="CG511" s="71">
        <f t="shared" si="5102"/>
        <v>538</v>
      </c>
      <c r="CH511" s="75">
        <f t="shared" si="5103"/>
        <v>255</v>
      </c>
      <c r="CI511" s="71">
        <f t="shared" si="5104"/>
        <v>260</v>
      </c>
      <c r="CJ511" s="72">
        <f t="shared" si="5105"/>
        <v>285</v>
      </c>
      <c r="CK511" s="72" t="str">
        <f t="shared" si="5106"/>
        <v>-</v>
      </c>
      <c r="CL511" s="72">
        <f t="shared" si="5107"/>
        <v>342</v>
      </c>
      <c r="CM511" s="72" t="str">
        <f t="shared" si="5108"/>
        <v>-</v>
      </c>
      <c r="CN511" s="72">
        <f t="shared" si="5109"/>
        <v>378</v>
      </c>
      <c r="CO511" s="72">
        <f t="shared" si="5110"/>
        <v>392</v>
      </c>
      <c r="CP511" s="72">
        <f t="shared" si="5111"/>
        <v>432</v>
      </c>
      <c r="CQ511" s="72">
        <f t="shared" si="5112"/>
        <v>493</v>
      </c>
      <c r="CR511" s="72">
        <f t="shared" si="5113"/>
        <v>537</v>
      </c>
      <c r="CS511" s="72">
        <f t="shared" si="5114"/>
        <v>554</v>
      </c>
      <c r="CT511" s="23">
        <f t="shared" si="5115"/>
        <v>1</v>
      </c>
    </row>
    <row r="512" spans="1:1030" x14ac:dyDescent="0.2">
      <c r="A512" s="3" t="str">
        <f t="shared" si="5088"/>
        <v>smo_human_6OT0</v>
      </c>
      <c r="B512" s="3" t="s">
        <v>33</v>
      </c>
      <c r="C512" s="3" t="s">
        <v>1576</v>
      </c>
      <c r="D512" s="3" t="str">
        <f>IFERROR(MID(VLOOKUP($B512,Seqs!$A:$B,2,0),E512,1),"")</f>
        <v>T</v>
      </c>
      <c r="E512" s="3">
        <v>223</v>
      </c>
      <c r="F512" s="3" t="str">
        <f>IFERROR(MID(VLOOKUP($B512,Seqs!$A:$B,2,0),G512,1),"")</f>
        <v>D</v>
      </c>
      <c r="G512" s="3">
        <v>255</v>
      </c>
      <c r="H512" s="3" t="str">
        <f>IFERROR(MID(VLOOKUP($B512,Seqs!$A:$B,2,0),I512,1),"")</f>
        <v>W</v>
      </c>
      <c r="I512" s="23">
        <v>256</v>
      </c>
      <c r="J512" s="3" t="str">
        <f>IFERROR(MID(VLOOKUP($B512,Seqs!$A:$B,2,0),K512,1),"")</f>
        <v>N</v>
      </c>
      <c r="K512" s="23">
        <v>260</v>
      </c>
      <c r="L512" s="3" t="str">
        <f>IFERROR(MID(VLOOKUP($B512,Seqs!$A:$B,2,0),M512,1),"")</f>
        <v>P</v>
      </c>
      <c r="M512" s="3">
        <v>263</v>
      </c>
      <c r="N512" s="3" t="str">
        <f>IFERROR(MID(VLOOKUP($B512,Seqs!$A:$B,2,0),O512,1),"")</f>
        <v>A</v>
      </c>
      <c r="O512" s="3">
        <v>283</v>
      </c>
      <c r="P512" s="3" t="str">
        <f>IFERROR(MID(VLOOKUP($B512,Seqs!$A:$B,2,0),Q512,1),"")</f>
        <v/>
      </c>
      <c r="Q512" s="3" t="s">
        <v>23</v>
      </c>
      <c r="R512" s="3" t="str">
        <f>IFERROR(MID(VLOOKUP($B512,Seqs!$A:$B,2,0),S512,1),"")</f>
        <v/>
      </c>
      <c r="S512" s="3" t="s">
        <v>23</v>
      </c>
      <c r="T512" s="3" t="str">
        <f>IFERROR(MID(VLOOKUP($B512,Seqs!$A:$B,2,0),U512,1),"")</f>
        <v>C</v>
      </c>
      <c r="U512" s="3">
        <v>314</v>
      </c>
      <c r="V512" s="3" t="str">
        <f>IFERROR(MID(VLOOKUP($B512,Seqs!$A:$B,2,0),W512,1),"")</f>
        <v>A</v>
      </c>
      <c r="W512" s="3">
        <v>345</v>
      </c>
      <c r="X512" s="3" t="str">
        <f>IFERROR(MID(VLOOKUP($B512,Seqs!$A:$B,2,0),Y512,1),"")</f>
        <v/>
      </c>
      <c r="Y512" s="3" t="s">
        <v>23</v>
      </c>
      <c r="Z512" s="3" t="str">
        <f>IFERROR(MID(VLOOKUP($B512,Seqs!$A:$B,2,0),AA512,1),"")</f>
        <v/>
      </c>
      <c r="AA512" s="3" t="s">
        <v>23</v>
      </c>
      <c r="AB512" s="3" t="str">
        <f>IFERROR(MID(VLOOKUP($B512,Seqs!$A:$B,2,0),AC512,1),"")</f>
        <v>K</v>
      </c>
      <c r="AC512" s="3">
        <v>356</v>
      </c>
      <c r="AD512" s="3" t="str">
        <f>IFERROR(MID(VLOOKUP($B512,Seqs!$A:$B,2,0),AE512,1),"")</f>
        <v>L</v>
      </c>
      <c r="AE512" s="3">
        <v>376</v>
      </c>
      <c r="AF512" s="3" t="str">
        <f>IFERROR(MID(VLOOKUP($B512,Seqs!$A:$B,2,0),AG512,1),"")</f>
        <v>C</v>
      </c>
      <c r="AG512" s="3">
        <v>390</v>
      </c>
      <c r="AH512" s="3" t="str">
        <f>IFERROR(MID(VLOOKUP($B512,Seqs!$A:$B,2,0),AI512,1),"")</f>
        <v>V</v>
      </c>
      <c r="AI512" s="3">
        <v>392</v>
      </c>
      <c r="AJ512" s="3" t="str">
        <f>IFERROR(MID(VLOOKUP($B512,Seqs!$A:$B,2,0),AK512,1),"")</f>
        <v>A</v>
      </c>
      <c r="AK512" s="3">
        <v>406</v>
      </c>
      <c r="AL512" s="3" t="str">
        <f>IFERROR(MID(VLOOKUP($B512,Seqs!$A:$B,2,0),AM512,1),"")</f>
        <v>S</v>
      </c>
      <c r="AM512" s="3">
        <v>428</v>
      </c>
      <c r="AN512" s="3" t="str">
        <f>IFERROR(MID(VLOOKUP($B512,Seqs!$A:$B,2,0),AO512,1),"")</f>
        <v>S</v>
      </c>
      <c r="AO512" s="3">
        <v>438</v>
      </c>
      <c r="AP512" s="3" t="str">
        <f>IFERROR(MID(VLOOKUP($B512,Seqs!$A:$B,2,0),AQ512,1),"")</f>
        <v>V</v>
      </c>
      <c r="AQ512" s="3">
        <v>494</v>
      </c>
      <c r="AR512" s="3" t="str">
        <f>IFERROR(MID(VLOOKUP($B512,Seqs!$A:$B,2,0),AS512,1),"")</f>
        <v>L</v>
      </c>
      <c r="AS512" s="3">
        <v>516</v>
      </c>
      <c r="AT512" s="3" t="str">
        <f>IFERROR(MID(VLOOKUP($B512,Seqs!$A:$B,2,0),AU512,1),"")</f>
        <v>W</v>
      </c>
      <c r="AU512" s="3">
        <v>537</v>
      </c>
      <c r="AV512" s="3" t="str">
        <f>IFERROR(MID(VLOOKUP($B512,Seqs!$A:$B,2,0),AW512,1),"")</f>
        <v>A</v>
      </c>
      <c r="AW512" s="3">
        <v>540</v>
      </c>
      <c r="AX512" s="3" t="str">
        <f>IFERROR(MID(VLOOKUP($B512,Seqs!$A:$B,2,0),AY512,1),"")</f>
        <v>L</v>
      </c>
      <c r="AY512" s="3">
        <v>552</v>
      </c>
      <c r="AZ512" s="78" t="str">
        <f>VLOOKUP(B512,Classification!A:D,2,0)</f>
        <v>F</v>
      </c>
      <c r="BA512" s="94" t="str">
        <f>VLOOKUP(B512,Classification!A:D,4,0)</f>
        <v>Frizzled</v>
      </c>
      <c r="BB512" s="92" t="b">
        <f t="shared" si="5089"/>
        <v>1</v>
      </c>
      <c r="BC512" s="23">
        <f t="shared" si="5090"/>
        <v>232</v>
      </c>
      <c r="BD512" s="74" t="s">
        <v>1371</v>
      </c>
      <c r="BE512" s="3" t="s">
        <v>1287</v>
      </c>
      <c r="BF512" s="118">
        <v>3.84</v>
      </c>
      <c r="BG512" s="49" t="s">
        <v>1418</v>
      </c>
      <c r="BH512" s="49" t="s">
        <v>1418</v>
      </c>
      <c r="BJ512" s="75" t="s">
        <v>1283</v>
      </c>
      <c r="BK512" s="57" t="s">
        <v>1283</v>
      </c>
      <c r="BL512" s="57" t="s">
        <v>1283</v>
      </c>
      <c r="BM512" s="57" t="s">
        <v>1283</v>
      </c>
      <c r="BN512" s="57" t="s">
        <v>1283</v>
      </c>
      <c r="BO512" s="57" t="s">
        <v>1283</v>
      </c>
      <c r="BP512" s="57" t="s">
        <v>1283</v>
      </c>
      <c r="BQ512" s="57" t="s">
        <v>1283</v>
      </c>
      <c r="BR512" s="57" t="s">
        <v>1283</v>
      </c>
      <c r="BS512" s="57" t="s">
        <v>1283</v>
      </c>
      <c r="BT512" s="57" t="s">
        <v>1283</v>
      </c>
      <c r="BU512" s="57" t="s">
        <v>1283</v>
      </c>
      <c r="BV512" s="75">
        <f t="shared" si="5091"/>
        <v>223</v>
      </c>
      <c r="BW512" s="71">
        <f t="shared" si="5092"/>
        <v>256</v>
      </c>
      <c r="BX512" s="72">
        <f t="shared" si="5093"/>
        <v>263</v>
      </c>
      <c r="BY512" s="71" t="str">
        <f t="shared" si="5094"/>
        <v>-</v>
      </c>
      <c r="BZ512" s="72">
        <f t="shared" si="5095"/>
        <v>314</v>
      </c>
      <c r="CA512" s="71" t="str">
        <f t="shared" si="5096"/>
        <v>-</v>
      </c>
      <c r="CB512" s="72">
        <f t="shared" si="5097"/>
        <v>356</v>
      </c>
      <c r="CC512" s="71">
        <f t="shared" si="5098"/>
        <v>390</v>
      </c>
      <c r="CD512" s="72">
        <f t="shared" si="5099"/>
        <v>406</v>
      </c>
      <c r="CE512" s="71">
        <f t="shared" si="5100"/>
        <v>438</v>
      </c>
      <c r="CF512" s="72">
        <f t="shared" si="5101"/>
        <v>516</v>
      </c>
      <c r="CG512" s="71">
        <f t="shared" si="5102"/>
        <v>540</v>
      </c>
      <c r="CH512" s="75">
        <f t="shared" si="5103"/>
        <v>255</v>
      </c>
      <c r="CI512" s="71">
        <f t="shared" si="5104"/>
        <v>260</v>
      </c>
      <c r="CJ512" s="72">
        <f t="shared" si="5105"/>
        <v>283</v>
      </c>
      <c r="CK512" s="72" t="str">
        <f t="shared" si="5106"/>
        <v>-</v>
      </c>
      <c r="CL512" s="72">
        <f t="shared" si="5107"/>
        <v>345</v>
      </c>
      <c r="CM512" s="72" t="str">
        <f t="shared" si="5108"/>
        <v>-</v>
      </c>
      <c r="CN512" s="72">
        <f t="shared" si="5109"/>
        <v>376</v>
      </c>
      <c r="CO512" s="72">
        <f t="shared" si="5110"/>
        <v>392</v>
      </c>
      <c r="CP512" s="72">
        <f t="shared" si="5111"/>
        <v>428</v>
      </c>
      <c r="CQ512" s="72">
        <f t="shared" si="5112"/>
        <v>494</v>
      </c>
      <c r="CR512" s="72">
        <f t="shared" si="5113"/>
        <v>537</v>
      </c>
      <c r="CS512" s="72">
        <f t="shared" si="5114"/>
        <v>552</v>
      </c>
      <c r="CT512" s="23">
        <f t="shared" si="5115"/>
        <v>3</v>
      </c>
    </row>
    <row r="513" spans="1:98" x14ac:dyDescent="0.2">
      <c r="A513" s="3" t="str">
        <f t="shared" ref="A513:A514" si="5116">CONCATENATE(B513,"_",C513)</f>
        <v>smo_mouse__wt</v>
      </c>
      <c r="B513" s="3" t="s">
        <v>1590</v>
      </c>
      <c r="C513" s="3" t="s">
        <v>100</v>
      </c>
      <c r="D513" s="3" t="str">
        <f>IFERROR(MID(VLOOKUP($B513,Seqs!$A:$B,2,0),E513,1),"")</f>
        <v>T</v>
      </c>
      <c r="E513" s="3">
        <v>227</v>
      </c>
      <c r="F513" s="3" t="str">
        <f>IFERROR(MID(VLOOKUP($B513,Seqs!$A:$B,2,0),G513,1),"")</f>
        <v>D</v>
      </c>
      <c r="G513" s="3">
        <v>259</v>
      </c>
      <c r="H513" s="3" t="str">
        <f>IFERROR(MID(VLOOKUP($B513,Seqs!$A:$B,2,0),I513,1),"")</f>
        <v>W</v>
      </c>
      <c r="I513" s="23">
        <v>260</v>
      </c>
      <c r="J513" s="3" t="str">
        <f>IFERROR(MID(VLOOKUP($B513,Seqs!$A:$B,2,0),K513,1),"")</f>
        <v>N</v>
      </c>
      <c r="K513" s="23">
        <v>264</v>
      </c>
      <c r="L513" s="3" t="str">
        <f>IFERROR(MID(VLOOKUP($B513,Seqs!$A:$B,2,0),M513,1),"")</f>
        <v>R</v>
      </c>
      <c r="M513" s="3">
        <v>265</v>
      </c>
      <c r="N513" s="3" t="str">
        <f>IFERROR(MID(VLOOKUP($B513,Seqs!$A:$B,2,0),O513,1),"")</f>
        <v>F</v>
      </c>
      <c r="O513" s="3">
        <v>289</v>
      </c>
      <c r="P513" s="3" t="str">
        <f>IFERROR(MID(VLOOKUP($B513,Seqs!$A:$B,2,0),Q513,1),"")</f>
        <v/>
      </c>
      <c r="Q513" s="3" t="s">
        <v>23</v>
      </c>
      <c r="R513" s="3" t="str">
        <f>IFERROR(MID(VLOOKUP($B513,Seqs!$A:$B,2,0),S513,1),"")</f>
        <v/>
      </c>
      <c r="S513" s="3" t="s">
        <v>23</v>
      </c>
      <c r="T513" s="3" t="str">
        <f>IFERROR(MID(VLOOKUP($B513,Seqs!$A:$B,2,0),U513,1),"")</f>
        <v>L</v>
      </c>
      <c r="U513" s="3">
        <v>316</v>
      </c>
      <c r="V513" s="3" t="str">
        <f>IFERROR(MID(VLOOKUP($B513,Seqs!$A:$B,2,0),W513,1),"")</f>
        <v>A</v>
      </c>
      <c r="W513" s="3">
        <v>349</v>
      </c>
      <c r="X513" s="3" t="str">
        <f>IFERROR(MID(VLOOKUP($B513,Seqs!$A:$B,2,0),Y513,1),"")</f>
        <v/>
      </c>
      <c r="Y513" s="3" t="s">
        <v>23</v>
      </c>
      <c r="Z513" s="3" t="str">
        <f>IFERROR(MID(VLOOKUP($B513,Seqs!$A:$B,2,0),AA513,1),"")</f>
        <v/>
      </c>
      <c r="AA513" s="3" t="s">
        <v>23</v>
      </c>
      <c r="AB513" s="3" t="str">
        <f>IFERROR(MID(VLOOKUP($B513,Seqs!$A:$B,2,0),AC513,1),"")</f>
        <v>K</v>
      </c>
      <c r="AC513" s="3">
        <v>360</v>
      </c>
      <c r="AD513" s="3" t="str">
        <f>IFERROR(MID(VLOOKUP($B513,Seqs!$A:$B,2,0),AE513,1),"")</f>
        <v>A</v>
      </c>
      <c r="AE513" s="3">
        <v>383</v>
      </c>
      <c r="AF513" s="3" t="str">
        <f>IFERROR(MID(VLOOKUP($B513,Seqs!$A:$B,2,0),AG513,1),"")</f>
        <v>C</v>
      </c>
      <c r="AG513" s="3">
        <v>394</v>
      </c>
      <c r="AH513" s="3" t="str">
        <f>IFERROR(MID(VLOOKUP($B513,Seqs!$A:$B,2,0),AI513,1),"")</f>
        <v>V</v>
      </c>
      <c r="AI513" s="3">
        <v>396</v>
      </c>
      <c r="AJ513" s="3" t="str">
        <f>IFERROR(MID(VLOOKUP($B513,Seqs!$A:$B,2,0),AK513,1),"")</f>
        <v>N</v>
      </c>
      <c r="AK513" s="3">
        <v>400</v>
      </c>
      <c r="AL513" s="3" t="str">
        <f>IFERROR(MID(VLOOKUP($B513,Seqs!$A:$B,2,0),AM513,1),"")</f>
        <v>H</v>
      </c>
      <c r="AM513" s="3">
        <v>437</v>
      </c>
      <c r="AN513" s="3" t="str">
        <f>IFERROR(MID(VLOOKUP($B513,Seqs!$A:$B,2,0),AO513,1),"")</f>
        <v>S</v>
      </c>
      <c r="AO513" s="3">
        <v>442</v>
      </c>
      <c r="AP513" s="3" t="str">
        <f>IFERROR(MID(VLOOKUP($B513,Seqs!$A:$B,2,0),AQ513,1),"")</f>
        <v>I</v>
      </c>
      <c r="AQ513" s="3">
        <v>500</v>
      </c>
      <c r="AR513" s="3" t="str">
        <f>IFERROR(MID(VLOOKUP($B513,Seqs!$A:$B,2,0),AS513,1),"")</f>
        <v>S</v>
      </c>
      <c r="AS513" s="3">
        <v>518</v>
      </c>
      <c r="AT513" s="3" t="str">
        <f>IFERROR(MID(VLOOKUP($B513,Seqs!$A:$B,2,0),AU513,1),"")</f>
        <v>W</v>
      </c>
      <c r="AU513" s="3">
        <v>541</v>
      </c>
      <c r="AV513" s="3" t="str">
        <f>IFERROR(MID(VLOOKUP($B513,Seqs!$A:$B,2,0),AW513,1),"")</f>
        <v>T</v>
      </c>
      <c r="AW513" s="3">
        <v>542</v>
      </c>
      <c r="AX513" s="3" t="str">
        <f>IFERROR(MID(VLOOKUP($B513,Seqs!$A:$B,2,0),AY513,1),"")</f>
        <v>T</v>
      </c>
      <c r="AY513" s="3">
        <v>557</v>
      </c>
      <c r="AZ513" s="78" t="str">
        <f>VLOOKUP(B513,Classification!A:D,2,0)</f>
        <v>F</v>
      </c>
      <c r="BA513" s="94" t="str">
        <f>VLOOKUP(B513,Classification!A:D,4,0)</f>
        <v>Frizzled</v>
      </c>
      <c r="BB513" s="92" t="b">
        <f t="shared" ref="BB513:BB514" si="5117">AND(E513&lt;G513,OR(G513&lt;I513,I513="-"),OR(I513&lt;K513,I513="-"),OR(K513&lt;M513,K513="-"),M513&lt;O513,OR(O513&lt;Q513,Q513="-"),OR(Q513&lt;S513,Q513="-"),OR(S513&lt;U513,S513="-"),U513&lt;W513,OR(W513&lt;Y513,Y513="-"),OR(Y513&lt;AA513,Y513="-"),OR(AA513&lt;AC513,AA513="-"),AC513&lt;AE513,OR(AE513&lt;AG513,AG513="-"),OR(AG513&lt;AI513,AG513="-"),OR(AI513&lt;AK513,AI513="-"),AK513&lt;AM513,AM513&lt;AO513,AO513&lt;AQ513,AQ513&lt;AS513,AS513&lt;AU513,OR(AU513&lt;AW513,AW513="-"),OR(AW513&lt;AY513,AW513="-"))</f>
        <v>1</v>
      </c>
      <c r="BC513" s="23">
        <f t="shared" ref="BC513:BC514" si="5118">_xlfn.AGGREGATE(9,6,CH513:CS513)-_xlfn.AGGREGATE(9,6,BV513:CG513)+12</f>
        <v>263</v>
      </c>
      <c r="BD513" s="74" t="s">
        <v>23</v>
      </c>
      <c r="BE513" s="3" t="s">
        <v>1287</v>
      </c>
      <c r="BF513" s="118">
        <v>4.84</v>
      </c>
      <c r="BG513" s="49" t="s">
        <v>1418</v>
      </c>
      <c r="BH513" s="49" t="s">
        <v>1418</v>
      </c>
      <c r="BJ513" s="75" t="s">
        <v>1283</v>
      </c>
      <c r="BK513" s="57" t="s">
        <v>1283</v>
      </c>
      <c r="BL513" s="57" t="s">
        <v>1283</v>
      </c>
      <c r="BM513" s="57" t="s">
        <v>1283</v>
      </c>
      <c r="BN513" s="57" t="s">
        <v>1283</v>
      </c>
      <c r="BO513" s="57" t="s">
        <v>1283</v>
      </c>
      <c r="BP513" s="57" t="s">
        <v>1283</v>
      </c>
      <c r="BQ513" s="57" t="s">
        <v>1283</v>
      </c>
      <c r="BR513" s="57" t="s">
        <v>1283</v>
      </c>
      <c r="BS513" s="57" t="s">
        <v>1283</v>
      </c>
      <c r="BT513" s="57" t="s">
        <v>1283</v>
      </c>
      <c r="BU513" s="57" t="s">
        <v>1283</v>
      </c>
      <c r="BV513" s="75">
        <f t="shared" ref="BV513:BV514" si="5119">E513</f>
        <v>227</v>
      </c>
      <c r="BW513" s="71">
        <f t="shared" ref="BW513:BW514" si="5120">I513</f>
        <v>260</v>
      </c>
      <c r="BX513" s="72">
        <f t="shared" ref="BX513:BX514" si="5121">M513</f>
        <v>265</v>
      </c>
      <c r="BY513" s="71" t="str">
        <f t="shared" ref="BY513:BY514" si="5122">Q513</f>
        <v>-</v>
      </c>
      <c r="BZ513" s="72">
        <f t="shared" ref="BZ513:BZ514" si="5123">U513</f>
        <v>316</v>
      </c>
      <c r="CA513" s="71" t="str">
        <f t="shared" ref="CA513:CA514" si="5124">Y513</f>
        <v>-</v>
      </c>
      <c r="CB513" s="72">
        <f t="shared" ref="CB513:CB514" si="5125">AC513</f>
        <v>360</v>
      </c>
      <c r="CC513" s="71">
        <f t="shared" ref="CC513:CC514" si="5126">AG513</f>
        <v>394</v>
      </c>
      <c r="CD513" s="72">
        <f t="shared" ref="CD513:CD514" si="5127">AK513</f>
        <v>400</v>
      </c>
      <c r="CE513" s="71">
        <f t="shared" ref="CE513:CE514" si="5128">AO513</f>
        <v>442</v>
      </c>
      <c r="CF513" s="72">
        <f t="shared" ref="CF513:CF514" si="5129">AS513</f>
        <v>518</v>
      </c>
      <c r="CG513" s="71">
        <f t="shared" ref="CG513:CG514" si="5130">AW513</f>
        <v>542</v>
      </c>
      <c r="CH513" s="75">
        <f t="shared" ref="CH513:CH514" si="5131">G513</f>
        <v>259</v>
      </c>
      <c r="CI513" s="71">
        <f t="shared" ref="CI513:CI514" si="5132">K513</f>
        <v>264</v>
      </c>
      <c r="CJ513" s="72">
        <f t="shared" ref="CJ513:CJ514" si="5133">O513</f>
        <v>289</v>
      </c>
      <c r="CK513" s="72" t="str">
        <f t="shared" ref="CK513:CK514" si="5134">S513</f>
        <v>-</v>
      </c>
      <c r="CL513" s="72">
        <f t="shared" ref="CL513:CL514" si="5135">W513</f>
        <v>349</v>
      </c>
      <c r="CM513" s="72" t="str">
        <f t="shared" ref="CM513:CM514" si="5136">AA513</f>
        <v>-</v>
      </c>
      <c r="CN513" s="72">
        <f t="shared" ref="CN513:CN514" si="5137">AE513</f>
        <v>383</v>
      </c>
      <c r="CO513" s="72">
        <f t="shared" ref="CO513:CO514" si="5138">AI513</f>
        <v>396</v>
      </c>
      <c r="CP513" s="72">
        <f t="shared" ref="CP513:CP514" si="5139">AM513</f>
        <v>437</v>
      </c>
      <c r="CQ513" s="72">
        <f t="shared" ref="CQ513:CQ514" si="5140">AQ513</f>
        <v>500</v>
      </c>
      <c r="CR513" s="72">
        <f t="shared" ref="CR513:CR514" si="5141">AU513</f>
        <v>541</v>
      </c>
      <c r="CS513" s="72">
        <f t="shared" ref="CS513:CS514" si="5142">AY513</f>
        <v>557</v>
      </c>
      <c r="CT513" s="23">
        <f t="shared" ref="CT513:CT514" si="5143">M513-K513</f>
        <v>1</v>
      </c>
    </row>
    <row r="514" spans="1:98" x14ac:dyDescent="0.2">
      <c r="A514" s="3" t="str">
        <f t="shared" si="5116"/>
        <v>smo_mouse_6O3C</v>
      </c>
      <c r="B514" s="3" t="s">
        <v>1590</v>
      </c>
      <c r="C514" s="3" t="s">
        <v>1591</v>
      </c>
      <c r="D514" s="3" t="str">
        <f>IFERROR(MID(VLOOKUP($B514,Seqs!$A:$B,2,0),E514,1),"")</f>
        <v>T</v>
      </c>
      <c r="E514" s="3">
        <v>227</v>
      </c>
      <c r="F514" s="3" t="str">
        <f>IFERROR(MID(VLOOKUP($B514,Seqs!$A:$B,2,0),G514,1),"")</f>
        <v>D</v>
      </c>
      <c r="G514" s="3">
        <v>259</v>
      </c>
      <c r="H514" s="3" t="str">
        <f>IFERROR(MID(VLOOKUP($B514,Seqs!$A:$B,2,0),I514,1),"")</f>
        <v>W</v>
      </c>
      <c r="I514" s="23">
        <v>260</v>
      </c>
      <c r="J514" s="3" t="str">
        <f>IFERROR(MID(VLOOKUP($B514,Seqs!$A:$B,2,0),K514,1),"")</f>
        <v>N</v>
      </c>
      <c r="K514" s="23">
        <v>264</v>
      </c>
      <c r="L514" s="3" t="str">
        <f>IFERROR(MID(VLOOKUP($B514,Seqs!$A:$B,2,0),M514,1),"")</f>
        <v>R</v>
      </c>
      <c r="M514" s="3">
        <v>265</v>
      </c>
      <c r="N514" s="3" t="str">
        <f>IFERROR(MID(VLOOKUP($B514,Seqs!$A:$B,2,0),O514,1),"")</f>
        <v>F</v>
      </c>
      <c r="O514" s="3">
        <v>289</v>
      </c>
      <c r="P514" s="3" t="str">
        <f>IFERROR(MID(VLOOKUP($B514,Seqs!$A:$B,2,0),Q514,1),"")</f>
        <v/>
      </c>
      <c r="Q514" s="3" t="s">
        <v>23</v>
      </c>
      <c r="R514" s="3" t="str">
        <f>IFERROR(MID(VLOOKUP($B514,Seqs!$A:$B,2,0),S514,1),"")</f>
        <v/>
      </c>
      <c r="S514" s="3" t="s">
        <v>23</v>
      </c>
      <c r="T514" s="3" t="str">
        <f>IFERROR(MID(VLOOKUP($B514,Seqs!$A:$B,2,0),U514,1),"")</f>
        <v>L</v>
      </c>
      <c r="U514" s="3">
        <v>316</v>
      </c>
      <c r="V514" s="3" t="str">
        <f>IFERROR(MID(VLOOKUP($B514,Seqs!$A:$B,2,0),W514,1),"")</f>
        <v>A</v>
      </c>
      <c r="W514" s="3">
        <v>349</v>
      </c>
      <c r="X514" s="3" t="str">
        <f>IFERROR(MID(VLOOKUP($B514,Seqs!$A:$B,2,0),Y514,1),"")</f>
        <v/>
      </c>
      <c r="Y514" s="3" t="s">
        <v>23</v>
      </c>
      <c r="Z514" s="3" t="str">
        <f>IFERROR(MID(VLOOKUP($B514,Seqs!$A:$B,2,0),AA514,1),"")</f>
        <v/>
      </c>
      <c r="AA514" s="3" t="s">
        <v>23</v>
      </c>
      <c r="AB514" s="3" t="str">
        <f>IFERROR(MID(VLOOKUP($B514,Seqs!$A:$B,2,0),AC514,1),"")</f>
        <v>K</v>
      </c>
      <c r="AC514" s="3">
        <v>360</v>
      </c>
      <c r="AD514" s="3" t="str">
        <f>IFERROR(MID(VLOOKUP($B514,Seqs!$A:$B,2,0),AE514,1),"")</f>
        <v>A</v>
      </c>
      <c r="AE514" s="3">
        <v>383</v>
      </c>
      <c r="AF514" s="3" t="str">
        <f>IFERROR(MID(VLOOKUP($B514,Seqs!$A:$B,2,0),AG514,1),"")</f>
        <v>C</v>
      </c>
      <c r="AG514" s="3">
        <v>394</v>
      </c>
      <c r="AH514" s="3" t="str">
        <f>IFERROR(MID(VLOOKUP($B514,Seqs!$A:$B,2,0),AI514,1),"")</f>
        <v>V</v>
      </c>
      <c r="AI514" s="3">
        <v>396</v>
      </c>
      <c r="AJ514" s="3" t="str">
        <f>IFERROR(MID(VLOOKUP($B514,Seqs!$A:$B,2,0),AK514,1),"")</f>
        <v>N</v>
      </c>
      <c r="AK514" s="3">
        <v>400</v>
      </c>
      <c r="AL514" s="3" t="str">
        <f>IFERROR(MID(VLOOKUP($B514,Seqs!$A:$B,2,0),AM514,1),"")</f>
        <v>H</v>
      </c>
      <c r="AM514" s="3">
        <v>437</v>
      </c>
      <c r="AN514" s="3" t="str">
        <f>IFERROR(MID(VLOOKUP($B514,Seqs!$A:$B,2,0),AO514,1),"")</f>
        <v>S</v>
      </c>
      <c r="AO514" s="3">
        <v>442</v>
      </c>
      <c r="AP514" s="3" t="str">
        <f>IFERROR(MID(VLOOKUP($B514,Seqs!$A:$B,2,0),AQ514,1),"")</f>
        <v>T</v>
      </c>
      <c r="AQ514" s="3">
        <v>499</v>
      </c>
      <c r="AR514" s="3" t="str">
        <f>IFERROR(MID(VLOOKUP($B514,Seqs!$A:$B,2,0),AS514,1),"")</f>
        <v>S</v>
      </c>
      <c r="AS514" s="3">
        <v>518</v>
      </c>
      <c r="AT514" s="3" t="str">
        <f>IFERROR(MID(VLOOKUP($B514,Seqs!$A:$B,2,0),AU514,1),"")</f>
        <v>W</v>
      </c>
      <c r="AU514" s="3">
        <v>541</v>
      </c>
      <c r="AV514" s="3" t="str">
        <f>IFERROR(MID(VLOOKUP($B514,Seqs!$A:$B,2,0),AW514,1),"")</f>
        <v>T</v>
      </c>
      <c r="AW514" s="3">
        <v>542</v>
      </c>
      <c r="AX514" s="3" t="str">
        <f>IFERROR(MID(VLOOKUP($B514,Seqs!$A:$B,2,0),AY514,1),"")</f>
        <v>R</v>
      </c>
      <c r="AY514" s="3">
        <v>555</v>
      </c>
      <c r="AZ514" s="78" t="str">
        <f>VLOOKUP(B514,Classification!A:D,2,0)</f>
        <v>F</v>
      </c>
      <c r="BA514" s="94" t="str">
        <f>VLOOKUP(B514,Classification!A:D,4,0)</f>
        <v>Frizzled</v>
      </c>
      <c r="BB514" s="92" t="b">
        <f t="shared" si="5117"/>
        <v>1</v>
      </c>
      <c r="BC514" s="23">
        <f t="shared" si="5118"/>
        <v>260</v>
      </c>
      <c r="BD514" s="74" t="s">
        <v>23</v>
      </c>
      <c r="BE514" s="3" t="s">
        <v>1287</v>
      </c>
      <c r="BF514" s="118">
        <v>5.84</v>
      </c>
      <c r="BG514" s="49" t="s">
        <v>1418</v>
      </c>
      <c r="BH514" s="49" t="s">
        <v>1418</v>
      </c>
      <c r="BJ514" s="75" t="s">
        <v>1283</v>
      </c>
      <c r="BK514" s="57" t="s">
        <v>1283</v>
      </c>
      <c r="BL514" s="57" t="s">
        <v>1283</v>
      </c>
      <c r="BM514" s="57" t="s">
        <v>1283</v>
      </c>
      <c r="BN514" s="57" t="s">
        <v>1283</v>
      </c>
      <c r="BO514" s="57" t="s">
        <v>1283</v>
      </c>
      <c r="BP514" s="57" t="s">
        <v>1283</v>
      </c>
      <c r="BQ514" s="57" t="s">
        <v>1283</v>
      </c>
      <c r="BR514" s="57" t="s">
        <v>1283</v>
      </c>
      <c r="BS514" s="57" t="s">
        <v>1283</v>
      </c>
      <c r="BT514" s="57" t="s">
        <v>1283</v>
      </c>
      <c r="BU514" s="57" t="s">
        <v>1283</v>
      </c>
      <c r="BV514" s="75">
        <f t="shared" si="5119"/>
        <v>227</v>
      </c>
      <c r="BW514" s="71">
        <f t="shared" si="5120"/>
        <v>260</v>
      </c>
      <c r="BX514" s="72">
        <f t="shared" si="5121"/>
        <v>265</v>
      </c>
      <c r="BY514" s="71" t="str">
        <f t="shared" si="5122"/>
        <v>-</v>
      </c>
      <c r="BZ514" s="72">
        <f t="shared" si="5123"/>
        <v>316</v>
      </c>
      <c r="CA514" s="71" t="str">
        <f t="shared" si="5124"/>
        <v>-</v>
      </c>
      <c r="CB514" s="72">
        <f t="shared" si="5125"/>
        <v>360</v>
      </c>
      <c r="CC514" s="71">
        <f t="shared" si="5126"/>
        <v>394</v>
      </c>
      <c r="CD514" s="72">
        <f t="shared" si="5127"/>
        <v>400</v>
      </c>
      <c r="CE514" s="71">
        <f t="shared" si="5128"/>
        <v>442</v>
      </c>
      <c r="CF514" s="72">
        <f t="shared" si="5129"/>
        <v>518</v>
      </c>
      <c r="CG514" s="71">
        <f t="shared" si="5130"/>
        <v>542</v>
      </c>
      <c r="CH514" s="75">
        <f t="shared" si="5131"/>
        <v>259</v>
      </c>
      <c r="CI514" s="71">
        <f t="shared" si="5132"/>
        <v>264</v>
      </c>
      <c r="CJ514" s="72">
        <f t="shared" si="5133"/>
        <v>289</v>
      </c>
      <c r="CK514" s="72" t="str">
        <f t="shared" si="5134"/>
        <v>-</v>
      </c>
      <c r="CL514" s="72">
        <f t="shared" si="5135"/>
        <v>349</v>
      </c>
      <c r="CM514" s="72" t="str">
        <f t="shared" si="5136"/>
        <v>-</v>
      </c>
      <c r="CN514" s="72">
        <f t="shared" si="5137"/>
        <v>383</v>
      </c>
      <c r="CO514" s="72">
        <f t="shared" si="5138"/>
        <v>396</v>
      </c>
      <c r="CP514" s="72">
        <f t="shared" si="5139"/>
        <v>437</v>
      </c>
      <c r="CQ514" s="72">
        <f t="shared" si="5140"/>
        <v>499</v>
      </c>
      <c r="CR514" s="72">
        <f t="shared" si="5141"/>
        <v>541</v>
      </c>
      <c r="CS514" s="72">
        <f t="shared" si="5142"/>
        <v>555</v>
      </c>
      <c r="CT514" s="23">
        <f t="shared" si="5143"/>
        <v>1</v>
      </c>
    </row>
    <row r="515" spans="1:98" x14ac:dyDescent="0.2">
      <c r="A515" s="3" t="str">
        <f t="shared" si="5088"/>
        <v>q98sw5_xenla__wt</v>
      </c>
      <c r="B515" s="3" t="s">
        <v>1491</v>
      </c>
      <c r="C515" s="3" t="s">
        <v>100</v>
      </c>
      <c r="D515" s="3" t="str">
        <f>IFERROR(MID(VLOOKUP($B515,Seqs!$A:$B,2,0),E515,1),"")</f>
        <v>T</v>
      </c>
      <c r="E515" s="3">
        <v>196</v>
      </c>
      <c r="F515" s="3" t="str">
        <f>IFERROR(MID(VLOOKUP($B515,Seqs!$A:$B,2,0),G515,1),"")</f>
        <v>D</v>
      </c>
      <c r="G515" s="3">
        <v>228</v>
      </c>
      <c r="H515" s="3" t="str">
        <f>IFERROR(MID(VLOOKUP($B515,Seqs!$A:$B,2,0),I515,1),"")</f>
        <v>W</v>
      </c>
      <c r="I515" s="23">
        <v>229</v>
      </c>
      <c r="J515" s="3" t="str">
        <f>IFERROR(MID(VLOOKUP($B515,Seqs!$A:$B,2,0),K515,1),"")</f>
        <v>N</v>
      </c>
      <c r="K515" s="23">
        <v>233</v>
      </c>
      <c r="L515" s="3" t="str">
        <f>IFERROR(MID(VLOOKUP($B515,Seqs!$A:$B,2,0),M515,1),"")</f>
        <v>R</v>
      </c>
      <c r="M515" s="3">
        <v>234</v>
      </c>
      <c r="N515" s="3" t="str">
        <f>IFERROR(MID(VLOOKUP($B515,Seqs!$A:$B,2,0),O515,1),"")</f>
        <v>A</v>
      </c>
      <c r="O515" s="3">
        <v>256</v>
      </c>
      <c r="P515" s="3" t="str">
        <f>IFERROR(MID(VLOOKUP($B515,Seqs!$A:$B,2,0),Q515,1),"")</f>
        <v/>
      </c>
      <c r="Q515" s="3" t="s">
        <v>23</v>
      </c>
      <c r="R515" s="3" t="str">
        <f>IFERROR(MID(VLOOKUP($B515,Seqs!$A:$B,2,0),S515,1),"")</f>
        <v/>
      </c>
      <c r="S515" s="3" t="s">
        <v>23</v>
      </c>
      <c r="T515" s="3" t="str">
        <f>IFERROR(MID(VLOOKUP($B515,Seqs!$A:$B,2,0),U515,1),"")</f>
        <v>L</v>
      </c>
      <c r="U515" s="3">
        <v>285</v>
      </c>
      <c r="V515" s="3" t="str">
        <f>IFERROR(MID(VLOOKUP($B515,Seqs!$A:$B,2,0),W515,1),"")</f>
        <v>T</v>
      </c>
      <c r="W515" s="3">
        <v>321</v>
      </c>
      <c r="X515" s="3" t="str">
        <f>IFERROR(MID(VLOOKUP($B515,Seqs!$A:$B,2,0),Y515,1),"")</f>
        <v/>
      </c>
      <c r="Y515" s="3" t="s">
        <v>23</v>
      </c>
      <c r="Z515" s="3" t="str">
        <f>IFERROR(MID(VLOOKUP($B515,Seqs!$A:$B,2,0),AA515,1),"")</f>
        <v/>
      </c>
      <c r="AA515" s="3" t="s">
        <v>23</v>
      </c>
      <c r="AB515" s="3" t="str">
        <f>IFERROR(MID(VLOOKUP($B515,Seqs!$A:$B,2,0),AC515,1),"")</f>
        <v>L</v>
      </c>
      <c r="AC515" s="3">
        <v>326</v>
      </c>
      <c r="AD515" s="3" t="str">
        <f>IFERROR(MID(VLOOKUP($B515,Seqs!$A:$B,2,0),AE515,1),"")</f>
        <v>V</v>
      </c>
      <c r="AE515" s="3">
        <v>351</v>
      </c>
      <c r="AF515" s="3" t="str">
        <f>IFERROR(MID(VLOOKUP($B515,Seqs!$A:$B,2,0),AG515,1),"")</f>
        <v>C</v>
      </c>
      <c r="AG515" s="3">
        <v>363</v>
      </c>
      <c r="AH515" s="3" t="str">
        <f>IFERROR(MID(VLOOKUP($B515,Seqs!$A:$B,2,0),AI515,1),"")</f>
        <v>V</v>
      </c>
      <c r="AI515" s="3">
        <v>365</v>
      </c>
      <c r="AJ515" s="3" t="str">
        <f>IFERROR(MID(VLOOKUP($B515,Seqs!$A:$B,2,0),AK515,1),"")</f>
        <v>N</v>
      </c>
      <c r="AK515" s="3">
        <v>369</v>
      </c>
      <c r="AL515" s="3" t="str">
        <f>IFERROR(MID(VLOOKUP($B515,Seqs!$A:$B,2,0),AM515,1),"")</f>
        <v>H</v>
      </c>
      <c r="AM515" s="3">
        <v>406</v>
      </c>
      <c r="AN515" s="3" t="str">
        <f>IFERROR(MID(VLOOKUP($B515,Seqs!$A:$B,2,0),AO515,1),"")</f>
        <v>A</v>
      </c>
      <c r="AO515" s="3">
        <v>415</v>
      </c>
      <c r="AP515" s="3" t="str">
        <f>IFERROR(MID(VLOOKUP($B515,Seqs!$A:$B,2,0),AQ515,1),"")</f>
        <v>Q</v>
      </c>
      <c r="AQ515" s="3">
        <v>472</v>
      </c>
      <c r="AR515" s="3" t="str">
        <f>IFERROR(MID(VLOOKUP($B515,Seqs!$A:$B,2,0),AS515,1),"")</f>
        <v>S</v>
      </c>
      <c r="AS515" s="3">
        <v>487</v>
      </c>
      <c r="AT515" s="3" t="str">
        <f>IFERROR(MID(VLOOKUP($B515,Seqs!$A:$B,2,0),AU515,1),"")</f>
        <v>W</v>
      </c>
      <c r="AU515" s="3">
        <v>510</v>
      </c>
      <c r="AV515" s="3" t="str">
        <f>IFERROR(MID(VLOOKUP($B515,Seqs!$A:$B,2,0),AW515,1),"")</f>
        <v>T</v>
      </c>
      <c r="AW515" s="3">
        <v>511</v>
      </c>
      <c r="AX515" s="3" t="str">
        <f>IFERROR(MID(VLOOKUP($B515,Seqs!$A:$B,2,0),AY515,1),"")</f>
        <v>L</v>
      </c>
      <c r="AY515" s="3">
        <v>526</v>
      </c>
      <c r="AZ515" s="78" t="str">
        <f>VLOOKUP(B515,Classification!A:D,2,0)</f>
        <v>F</v>
      </c>
      <c r="BA515" s="94" t="str">
        <f>VLOOKUP(B515,Classification!A:D,4,0)</f>
        <v>Frizzled</v>
      </c>
      <c r="BB515" s="92" t="b">
        <f t="shared" si="5089"/>
        <v>1</v>
      </c>
      <c r="BC515" s="23">
        <f t="shared" si="5090"/>
        <v>265</v>
      </c>
      <c r="BD515" s="74" t="s">
        <v>23</v>
      </c>
      <c r="BE515" s="3" t="s">
        <v>1370</v>
      </c>
      <c r="BF515" s="118" t="s">
        <v>23</v>
      </c>
      <c r="BG515" s="49" t="s">
        <v>1</v>
      </c>
      <c r="BH515" s="49" t="s">
        <v>1</v>
      </c>
      <c r="BJ515" s="75" t="s">
        <v>1283</v>
      </c>
      <c r="BK515" s="57" t="s">
        <v>1283</v>
      </c>
      <c r="BL515" s="57" t="s">
        <v>1283</v>
      </c>
      <c r="BM515" s="57" t="s">
        <v>1283</v>
      </c>
      <c r="BN515" s="57" t="s">
        <v>1283</v>
      </c>
      <c r="BO515" s="57" t="s">
        <v>1283</v>
      </c>
      <c r="BP515" s="57" t="s">
        <v>1283</v>
      </c>
      <c r="BQ515" s="57" t="s">
        <v>1283</v>
      </c>
      <c r="BR515" s="57" t="s">
        <v>1283</v>
      </c>
      <c r="BS515" s="57" t="s">
        <v>1283</v>
      </c>
      <c r="BT515" s="57" t="s">
        <v>1283</v>
      </c>
      <c r="BU515" s="57" t="s">
        <v>1283</v>
      </c>
      <c r="BV515" s="75">
        <f t="shared" si="5091"/>
        <v>196</v>
      </c>
      <c r="BW515" s="71">
        <f t="shared" si="5092"/>
        <v>229</v>
      </c>
      <c r="BX515" s="72">
        <f t="shared" si="5093"/>
        <v>234</v>
      </c>
      <c r="BY515" s="71" t="str">
        <f t="shared" si="5094"/>
        <v>-</v>
      </c>
      <c r="BZ515" s="72">
        <f t="shared" si="5095"/>
        <v>285</v>
      </c>
      <c r="CA515" s="71" t="str">
        <f t="shared" si="5096"/>
        <v>-</v>
      </c>
      <c r="CB515" s="72">
        <f t="shared" si="5097"/>
        <v>326</v>
      </c>
      <c r="CC515" s="71">
        <f t="shared" si="5098"/>
        <v>363</v>
      </c>
      <c r="CD515" s="72">
        <f t="shared" si="5099"/>
        <v>369</v>
      </c>
      <c r="CE515" s="71">
        <f t="shared" si="5100"/>
        <v>415</v>
      </c>
      <c r="CF515" s="72">
        <f t="shared" si="5101"/>
        <v>487</v>
      </c>
      <c r="CG515" s="71">
        <f t="shared" si="5102"/>
        <v>511</v>
      </c>
      <c r="CH515" s="75">
        <f t="shared" si="5103"/>
        <v>228</v>
      </c>
      <c r="CI515" s="71">
        <f t="shared" si="5104"/>
        <v>233</v>
      </c>
      <c r="CJ515" s="72">
        <f t="shared" si="5105"/>
        <v>256</v>
      </c>
      <c r="CK515" s="72" t="str">
        <f t="shared" si="5106"/>
        <v>-</v>
      </c>
      <c r="CL515" s="72">
        <f t="shared" si="5107"/>
        <v>321</v>
      </c>
      <c r="CM515" s="72" t="str">
        <f t="shared" si="5108"/>
        <v>-</v>
      </c>
      <c r="CN515" s="72">
        <f t="shared" si="5109"/>
        <v>351</v>
      </c>
      <c r="CO515" s="72">
        <f t="shared" si="5110"/>
        <v>365</v>
      </c>
      <c r="CP515" s="72">
        <f t="shared" si="5111"/>
        <v>406</v>
      </c>
      <c r="CQ515" s="72">
        <f t="shared" si="5112"/>
        <v>472</v>
      </c>
      <c r="CR515" s="72">
        <f t="shared" si="5113"/>
        <v>510</v>
      </c>
      <c r="CS515" s="72">
        <f t="shared" si="5114"/>
        <v>526</v>
      </c>
      <c r="CT515" s="23">
        <f t="shared" si="5115"/>
        <v>1</v>
      </c>
    </row>
    <row r="516" spans="1:98" x14ac:dyDescent="0.2">
      <c r="A516" s="3" t="str">
        <f t="shared" si="5088"/>
        <v>q98sw5_xenla_6D32</v>
      </c>
      <c r="B516" s="3" t="s">
        <v>1491</v>
      </c>
      <c r="C516" s="3" t="s">
        <v>1490</v>
      </c>
      <c r="D516" s="3" t="str">
        <f>IFERROR(MID(VLOOKUP($B516,Seqs!$A:$B,2,0),E516,1),"")</f>
        <v>T</v>
      </c>
      <c r="E516" s="3">
        <v>196</v>
      </c>
      <c r="F516" s="3" t="str">
        <f>IFERROR(MID(VLOOKUP($B516,Seqs!$A:$B,2,0),G516,1),"")</f>
        <v>D</v>
      </c>
      <c r="G516" s="3">
        <v>228</v>
      </c>
      <c r="H516" s="3" t="str">
        <f>IFERROR(MID(VLOOKUP($B516,Seqs!$A:$B,2,0),I516,1),"")</f>
        <v>W</v>
      </c>
      <c r="I516" s="23">
        <v>229</v>
      </c>
      <c r="J516" s="3" t="str">
        <f>IFERROR(MID(VLOOKUP($B516,Seqs!$A:$B,2,0),K516,1),"")</f>
        <v>N</v>
      </c>
      <c r="K516" s="23">
        <v>233</v>
      </c>
      <c r="L516" s="3" t="str">
        <f>IFERROR(MID(VLOOKUP($B516,Seqs!$A:$B,2,0),M516,1),"")</f>
        <v>R</v>
      </c>
      <c r="M516" s="3">
        <v>234</v>
      </c>
      <c r="N516" s="3" t="str">
        <f>IFERROR(MID(VLOOKUP($B516,Seqs!$A:$B,2,0),O516,1),"")</f>
        <v>A</v>
      </c>
      <c r="O516" s="3">
        <v>256</v>
      </c>
      <c r="P516" s="3" t="str">
        <f>IFERROR(MID(VLOOKUP($B516,Seqs!$A:$B,2,0),Q516,1),"")</f>
        <v/>
      </c>
      <c r="Q516" s="3" t="s">
        <v>23</v>
      </c>
      <c r="R516" s="3" t="str">
        <f>IFERROR(MID(VLOOKUP($B516,Seqs!$A:$B,2,0),S516,1),"")</f>
        <v/>
      </c>
      <c r="S516" s="3" t="s">
        <v>23</v>
      </c>
      <c r="T516" s="3" t="str">
        <f>IFERROR(MID(VLOOKUP($B516,Seqs!$A:$B,2,0),U516,1),"")</f>
        <v>L</v>
      </c>
      <c r="U516" s="3">
        <v>285</v>
      </c>
      <c r="V516" s="3" t="str">
        <f>IFERROR(MID(VLOOKUP($B516,Seqs!$A:$B,2,0),W516,1),"")</f>
        <v>K</v>
      </c>
      <c r="W516" s="3">
        <v>317</v>
      </c>
      <c r="X516" s="3" t="str">
        <f>IFERROR(MID(VLOOKUP($B516,Seqs!$A:$B,2,0),Y516,1),"")</f>
        <v/>
      </c>
      <c r="Y516" s="3" t="s">
        <v>23</v>
      </c>
      <c r="Z516" s="3" t="str">
        <f>IFERROR(MID(VLOOKUP($B516,Seqs!$A:$B,2,0),AA516,1),"")</f>
        <v/>
      </c>
      <c r="AA516" s="3" t="s">
        <v>23</v>
      </c>
      <c r="AB516" s="3" t="str">
        <f>IFERROR(MID(VLOOKUP($B516,Seqs!$A:$B,2,0),AC516,1),"")</f>
        <v>K</v>
      </c>
      <c r="AC516" s="3">
        <v>329</v>
      </c>
      <c r="AD516" s="3" t="str">
        <f>IFERROR(MID(VLOOKUP($B516,Seqs!$A:$B,2,0),AE516,1),"")</f>
        <v>V</v>
      </c>
      <c r="AE516" s="3">
        <v>351</v>
      </c>
      <c r="AF516" s="3" t="str">
        <f>IFERROR(MID(VLOOKUP($B516,Seqs!$A:$B,2,0),AG516,1),"")</f>
        <v>C</v>
      </c>
      <c r="AG516" s="3">
        <v>363</v>
      </c>
      <c r="AH516" s="3" t="str">
        <f>IFERROR(MID(VLOOKUP($B516,Seqs!$A:$B,2,0),AI516,1),"")</f>
        <v>V</v>
      </c>
      <c r="AI516" s="3">
        <v>365</v>
      </c>
      <c r="AJ516" s="3" t="str">
        <f>IFERROR(MID(VLOOKUP($B516,Seqs!$A:$B,2,0),AK516,1),"")</f>
        <v>N</v>
      </c>
      <c r="AK516" s="3">
        <v>369</v>
      </c>
      <c r="AL516" s="3" t="str">
        <f>IFERROR(MID(VLOOKUP($B516,Seqs!$A:$B,2,0),AM516,1),"")</f>
        <v>S</v>
      </c>
      <c r="AM516" s="3">
        <v>401</v>
      </c>
      <c r="AN516" s="3" t="str">
        <f>IFERROR(MID(VLOOKUP($B516,Seqs!$A:$B,2,0),AO516,1),"")</f>
        <v>S</v>
      </c>
      <c r="AO516" s="3">
        <v>416</v>
      </c>
      <c r="AP516" s="3" t="str">
        <f>IFERROR(MID(VLOOKUP($B516,Seqs!$A:$B,2,0),AQ516,1),"")</f>
        <v>Q</v>
      </c>
      <c r="AQ516" s="3">
        <v>472</v>
      </c>
      <c r="AR516" s="3" t="str">
        <f>IFERROR(MID(VLOOKUP($B516,Seqs!$A:$B,2,0),AS516,1),"")</f>
        <v>S</v>
      </c>
      <c r="AS516" s="3">
        <v>487</v>
      </c>
      <c r="AT516" s="3" t="str">
        <f>IFERROR(MID(VLOOKUP($B516,Seqs!$A:$B,2,0),AU516,1),"")</f>
        <v>W</v>
      </c>
      <c r="AU516" s="3">
        <v>510</v>
      </c>
      <c r="AV516" s="3" t="str">
        <f>IFERROR(MID(VLOOKUP($B516,Seqs!$A:$B,2,0),AW516,1),"")</f>
        <v>T</v>
      </c>
      <c r="AW516" s="3">
        <v>511</v>
      </c>
      <c r="AX516" s="3" t="str">
        <f>IFERROR(MID(VLOOKUP($B516,Seqs!$A:$B,2,0),AY516,1),"")</f>
        <v>R</v>
      </c>
      <c r="AY516" s="3">
        <v>520</v>
      </c>
      <c r="AZ516" s="78" t="str">
        <f>VLOOKUP(B516,Classification!A:D,2,0)</f>
        <v>F</v>
      </c>
      <c r="BA516" s="94" t="str">
        <f>VLOOKUP(B516,Classification!A:D,4,0)</f>
        <v>Frizzled</v>
      </c>
      <c r="BB516" s="92" t="b">
        <f t="shared" si="5089"/>
        <v>1</v>
      </c>
      <c r="BC516" s="23">
        <f t="shared" si="5090"/>
        <v>246</v>
      </c>
      <c r="BD516" s="74" t="s">
        <v>23</v>
      </c>
      <c r="BE516" s="3" t="s">
        <v>1370</v>
      </c>
      <c r="BF516" s="118">
        <v>3.7509999999999999</v>
      </c>
      <c r="BG516" s="49" t="s">
        <v>1</v>
      </c>
      <c r="BH516" s="49" t="s">
        <v>1</v>
      </c>
      <c r="BJ516" s="75" t="s">
        <v>1283</v>
      </c>
      <c r="BK516" s="57" t="s">
        <v>1283</v>
      </c>
      <c r="BL516" s="57" t="s">
        <v>1283</v>
      </c>
      <c r="BM516" s="57" t="s">
        <v>1283</v>
      </c>
      <c r="BN516" s="57" t="s">
        <v>1283</v>
      </c>
      <c r="BO516" s="57" t="s">
        <v>1283</v>
      </c>
      <c r="BP516" s="57" t="s">
        <v>1283</v>
      </c>
      <c r="BQ516" s="57" t="s">
        <v>1283</v>
      </c>
      <c r="BR516" s="57" t="s">
        <v>1283</v>
      </c>
      <c r="BS516" s="57" t="s">
        <v>1283</v>
      </c>
      <c r="BT516" s="57" t="s">
        <v>1283</v>
      </c>
      <c r="BU516" s="57" t="s">
        <v>1283</v>
      </c>
      <c r="BV516" s="75">
        <f t="shared" si="5091"/>
        <v>196</v>
      </c>
      <c r="BW516" s="71">
        <f t="shared" si="5092"/>
        <v>229</v>
      </c>
      <c r="BX516" s="72">
        <f t="shared" si="5093"/>
        <v>234</v>
      </c>
      <c r="BY516" s="71" t="str">
        <f t="shared" si="5094"/>
        <v>-</v>
      </c>
      <c r="BZ516" s="72">
        <f t="shared" si="5095"/>
        <v>285</v>
      </c>
      <c r="CA516" s="71" t="str">
        <f t="shared" si="5096"/>
        <v>-</v>
      </c>
      <c r="CB516" s="72">
        <f t="shared" si="5097"/>
        <v>329</v>
      </c>
      <c r="CC516" s="71">
        <f t="shared" si="5098"/>
        <v>363</v>
      </c>
      <c r="CD516" s="72">
        <f t="shared" si="5099"/>
        <v>369</v>
      </c>
      <c r="CE516" s="71">
        <f t="shared" si="5100"/>
        <v>416</v>
      </c>
      <c r="CF516" s="72">
        <f t="shared" si="5101"/>
        <v>487</v>
      </c>
      <c r="CG516" s="71">
        <f t="shared" si="5102"/>
        <v>511</v>
      </c>
      <c r="CH516" s="75">
        <f t="shared" si="5103"/>
        <v>228</v>
      </c>
      <c r="CI516" s="71">
        <f t="shared" si="5104"/>
        <v>233</v>
      </c>
      <c r="CJ516" s="72">
        <f t="shared" si="5105"/>
        <v>256</v>
      </c>
      <c r="CK516" s="72" t="str">
        <f t="shared" si="5106"/>
        <v>-</v>
      </c>
      <c r="CL516" s="72">
        <f t="shared" si="5107"/>
        <v>317</v>
      </c>
      <c r="CM516" s="72" t="str">
        <f t="shared" si="5108"/>
        <v>-</v>
      </c>
      <c r="CN516" s="72">
        <f t="shared" si="5109"/>
        <v>351</v>
      </c>
      <c r="CO516" s="72">
        <f t="shared" si="5110"/>
        <v>365</v>
      </c>
      <c r="CP516" s="72">
        <f t="shared" si="5111"/>
        <v>401</v>
      </c>
      <c r="CQ516" s="72">
        <f t="shared" si="5112"/>
        <v>472</v>
      </c>
      <c r="CR516" s="72">
        <f t="shared" si="5113"/>
        <v>510</v>
      </c>
      <c r="CS516" s="72">
        <f t="shared" si="5114"/>
        <v>520</v>
      </c>
      <c r="CT516" s="23">
        <f t="shared" si="5115"/>
        <v>1</v>
      </c>
    </row>
    <row r="517" spans="1:98" x14ac:dyDescent="0.2">
      <c r="A517" s="3" t="str">
        <f t="shared" si="5088"/>
        <v>q98sw5_xenla_6D35</v>
      </c>
      <c r="B517" s="3" t="s">
        <v>1491</v>
      </c>
      <c r="C517" s="3" t="s">
        <v>1493</v>
      </c>
      <c r="D517" s="3" t="str">
        <f>IFERROR(MID(VLOOKUP($B517,Seqs!$A:$B,2,0),E517,1),"")</f>
        <v>T</v>
      </c>
      <c r="E517" s="3">
        <v>196</v>
      </c>
      <c r="F517" s="3" t="str">
        <f>IFERROR(MID(VLOOKUP($B517,Seqs!$A:$B,2,0),G517,1),"")</f>
        <v>D</v>
      </c>
      <c r="G517" s="3">
        <v>228</v>
      </c>
      <c r="H517" s="3" t="str">
        <f>IFERROR(MID(VLOOKUP($B517,Seqs!$A:$B,2,0),I517,1),"")</f>
        <v>W</v>
      </c>
      <c r="I517" s="23">
        <v>229</v>
      </c>
      <c r="J517" s="3" t="str">
        <f>IFERROR(MID(VLOOKUP($B517,Seqs!$A:$B,2,0),K517,1),"")</f>
        <v>N</v>
      </c>
      <c r="K517" s="23">
        <v>233</v>
      </c>
      <c r="L517" s="3" t="str">
        <f>IFERROR(MID(VLOOKUP($B517,Seqs!$A:$B,2,0),M517,1),"")</f>
        <v>R</v>
      </c>
      <c r="M517" s="3">
        <v>234</v>
      </c>
      <c r="N517" s="3" t="str">
        <f>IFERROR(MID(VLOOKUP($B517,Seqs!$A:$B,2,0),O517,1),"")</f>
        <v>A</v>
      </c>
      <c r="O517" s="3">
        <v>256</v>
      </c>
      <c r="P517" s="3" t="str">
        <f>IFERROR(MID(VLOOKUP($B517,Seqs!$A:$B,2,0),Q517,1),"")</f>
        <v/>
      </c>
      <c r="Q517" s="3" t="s">
        <v>23</v>
      </c>
      <c r="R517" s="3" t="str">
        <f>IFERROR(MID(VLOOKUP($B517,Seqs!$A:$B,2,0),S517,1),"")</f>
        <v/>
      </c>
      <c r="S517" s="3" t="s">
        <v>23</v>
      </c>
      <c r="T517" s="3" t="str">
        <f>IFERROR(MID(VLOOKUP($B517,Seqs!$A:$B,2,0),U517,1),"")</f>
        <v>L</v>
      </c>
      <c r="U517" s="3">
        <v>285</v>
      </c>
      <c r="V517" s="3" t="str">
        <f>IFERROR(MID(VLOOKUP($B517,Seqs!$A:$B,2,0),W517,1),"")</f>
        <v>K</v>
      </c>
      <c r="W517" s="3">
        <v>317</v>
      </c>
      <c r="X517" s="3" t="str">
        <f>IFERROR(MID(VLOOKUP($B517,Seqs!$A:$B,2,0),Y517,1),"")</f>
        <v/>
      </c>
      <c r="Y517" s="3" t="s">
        <v>23</v>
      </c>
      <c r="Z517" s="3" t="str">
        <f>IFERROR(MID(VLOOKUP($B517,Seqs!$A:$B,2,0),AA517,1),"")</f>
        <v/>
      </c>
      <c r="AA517" s="3" t="s">
        <v>23</v>
      </c>
      <c r="AB517" s="3" t="str">
        <f>IFERROR(MID(VLOOKUP($B517,Seqs!$A:$B,2,0),AC517,1),"")</f>
        <v>K</v>
      </c>
      <c r="AC517" s="3">
        <v>329</v>
      </c>
      <c r="AD517" s="3" t="str">
        <f>IFERROR(MID(VLOOKUP($B517,Seqs!$A:$B,2,0),AE517,1),"")</f>
        <v>V</v>
      </c>
      <c r="AE517" s="3">
        <v>351</v>
      </c>
      <c r="AF517" s="3" t="str">
        <f>IFERROR(MID(VLOOKUP($B517,Seqs!$A:$B,2,0),AG517,1),"")</f>
        <v>C</v>
      </c>
      <c r="AG517" s="3">
        <v>363</v>
      </c>
      <c r="AH517" s="3" t="str">
        <f>IFERROR(MID(VLOOKUP($B517,Seqs!$A:$B,2,0),AI517,1),"")</f>
        <v>V</v>
      </c>
      <c r="AI517" s="3">
        <v>365</v>
      </c>
      <c r="AJ517" s="3" t="str">
        <f>IFERROR(MID(VLOOKUP($B517,Seqs!$A:$B,2,0),AK517,1),"")</f>
        <v>N</v>
      </c>
      <c r="AK517" s="3">
        <v>369</v>
      </c>
      <c r="AL517" s="3" t="str">
        <f>IFERROR(MID(VLOOKUP($B517,Seqs!$A:$B,2,0),AM517,1),"")</f>
        <v>S</v>
      </c>
      <c r="AM517" s="3">
        <v>401</v>
      </c>
      <c r="AN517" s="3" t="str">
        <f>IFERROR(MID(VLOOKUP($B517,Seqs!$A:$B,2,0),AO517,1),"")</f>
        <v>S</v>
      </c>
      <c r="AO517" s="3">
        <v>416</v>
      </c>
      <c r="AP517" s="3" t="str">
        <f>IFERROR(MID(VLOOKUP($B517,Seqs!$A:$B,2,0),AQ517,1),"")</f>
        <v>Q</v>
      </c>
      <c r="AQ517" s="3">
        <v>472</v>
      </c>
      <c r="AR517" s="3" t="str">
        <f>IFERROR(MID(VLOOKUP($B517,Seqs!$A:$B,2,0),AS517,1),"")</f>
        <v>S</v>
      </c>
      <c r="AS517" s="3">
        <v>487</v>
      </c>
      <c r="AT517" s="3" t="str">
        <f>IFERROR(MID(VLOOKUP($B517,Seqs!$A:$B,2,0),AU517,1),"")</f>
        <v>W</v>
      </c>
      <c r="AU517" s="3">
        <v>510</v>
      </c>
      <c r="AV517" s="3" t="str">
        <f>IFERROR(MID(VLOOKUP($B517,Seqs!$A:$B,2,0),AW517,1),"")</f>
        <v>T</v>
      </c>
      <c r="AW517" s="3">
        <v>511</v>
      </c>
      <c r="AX517" s="3" t="str">
        <f>IFERROR(MID(VLOOKUP($B517,Seqs!$A:$B,2,0),AY517,1),"")</f>
        <v>R</v>
      </c>
      <c r="AY517" s="3">
        <v>520</v>
      </c>
      <c r="AZ517" s="78" t="str">
        <f>VLOOKUP(B517,Classification!A:D,2,0)</f>
        <v>F</v>
      </c>
      <c r="BA517" s="94" t="str">
        <f>VLOOKUP(B517,Classification!A:D,4,0)</f>
        <v>Frizzled</v>
      </c>
      <c r="BB517" s="92" t="b">
        <f t="shared" si="5089"/>
        <v>1</v>
      </c>
      <c r="BC517" s="23">
        <f t="shared" si="5090"/>
        <v>246</v>
      </c>
      <c r="BD517" s="74" t="s">
        <v>23</v>
      </c>
      <c r="BE517" s="3" t="s">
        <v>1370</v>
      </c>
      <c r="BF517" s="118">
        <v>3.9</v>
      </c>
      <c r="BG517" s="49" t="s">
        <v>1</v>
      </c>
      <c r="BH517" s="49" t="s">
        <v>1</v>
      </c>
      <c r="BJ517" s="75" t="s">
        <v>1283</v>
      </c>
      <c r="BK517" s="57" t="s">
        <v>1283</v>
      </c>
      <c r="BL517" s="57" t="s">
        <v>1283</v>
      </c>
      <c r="BM517" s="57" t="s">
        <v>1283</v>
      </c>
      <c r="BN517" s="57" t="s">
        <v>1283</v>
      </c>
      <c r="BO517" s="57" t="s">
        <v>1283</v>
      </c>
      <c r="BP517" s="57" t="s">
        <v>1283</v>
      </c>
      <c r="BQ517" s="57" t="s">
        <v>1283</v>
      </c>
      <c r="BR517" s="57" t="s">
        <v>1283</v>
      </c>
      <c r="BS517" s="57" t="s">
        <v>1283</v>
      </c>
      <c r="BT517" s="57" t="s">
        <v>1283</v>
      </c>
      <c r="BU517" s="57" t="s">
        <v>1283</v>
      </c>
      <c r="BV517" s="75">
        <f t="shared" si="5091"/>
        <v>196</v>
      </c>
      <c r="BW517" s="71">
        <f t="shared" si="5092"/>
        <v>229</v>
      </c>
      <c r="BX517" s="72">
        <f t="shared" si="5093"/>
        <v>234</v>
      </c>
      <c r="BY517" s="71" t="str">
        <f t="shared" si="5094"/>
        <v>-</v>
      </c>
      <c r="BZ517" s="72">
        <f t="shared" si="5095"/>
        <v>285</v>
      </c>
      <c r="CA517" s="71" t="str">
        <f t="shared" si="5096"/>
        <v>-</v>
      </c>
      <c r="CB517" s="72">
        <f t="shared" si="5097"/>
        <v>329</v>
      </c>
      <c r="CC517" s="71">
        <f t="shared" si="5098"/>
        <v>363</v>
      </c>
      <c r="CD517" s="72">
        <f t="shared" si="5099"/>
        <v>369</v>
      </c>
      <c r="CE517" s="71">
        <f t="shared" si="5100"/>
        <v>416</v>
      </c>
      <c r="CF517" s="72">
        <f t="shared" si="5101"/>
        <v>487</v>
      </c>
      <c r="CG517" s="71">
        <f t="shared" si="5102"/>
        <v>511</v>
      </c>
      <c r="CH517" s="75">
        <f t="shared" si="5103"/>
        <v>228</v>
      </c>
      <c r="CI517" s="71">
        <f t="shared" si="5104"/>
        <v>233</v>
      </c>
      <c r="CJ517" s="72">
        <f t="shared" si="5105"/>
        <v>256</v>
      </c>
      <c r="CK517" s="72" t="str">
        <f t="shared" si="5106"/>
        <v>-</v>
      </c>
      <c r="CL517" s="72">
        <f t="shared" si="5107"/>
        <v>317</v>
      </c>
      <c r="CM517" s="72" t="str">
        <f t="shared" si="5108"/>
        <v>-</v>
      </c>
      <c r="CN517" s="72">
        <f t="shared" si="5109"/>
        <v>351</v>
      </c>
      <c r="CO517" s="72">
        <f t="shared" si="5110"/>
        <v>365</v>
      </c>
      <c r="CP517" s="72">
        <f t="shared" si="5111"/>
        <v>401</v>
      </c>
      <c r="CQ517" s="72">
        <f t="shared" si="5112"/>
        <v>472</v>
      </c>
      <c r="CR517" s="72">
        <f t="shared" si="5113"/>
        <v>510</v>
      </c>
      <c r="CS517" s="72">
        <f t="shared" si="5114"/>
        <v>520</v>
      </c>
      <c r="CT517" s="23">
        <f t="shared" si="5115"/>
        <v>1</v>
      </c>
    </row>
    <row r="591" spans="52:86" x14ac:dyDescent="0.2">
      <c r="AZ591" s="77"/>
      <c r="BA591" s="28"/>
      <c r="BB591" s="16"/>
      <c r="BD591" s="2"/>
      <c r="BJ591" s="70"/>
      <c r="BV591" s="70"/>
      <c r="CH591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61 BB76 BB30:BB34 BB37:BB41">
    <cfRule type="cellIs" dxfId="76" priority="10" operator="equal">
      <formula>0</formula>
    </cfRule>
  </conditionalFormatting>
  <conditionalFormatting sqref="BB386:BB387">
    <cfRule type="cellIs" dxfId="75" priority="11" operator="equal">
      <formula>0</formula>
    </cfRule>
  </conditionalFormatting>
  <conditionalFormatting sqref="BB13">
    <cfRule type="cellIs" dxfId="74" priority="12" operator="equal">
      <formula>0</formula>
    </cfRule>
  </conditionalFormatting>
  <conditionalFormatting sqref="BB411">
    <cfRule type="cellIs" dxfId="73" priority="13" operator="equal">
      <formula>0</formula>
    </cfRule>
  </conditionalFormatting>
  <conditionalFormatting sqref="E411 AW411 AU411 AS411 AQ411 AO411 AM411 AK411 AI411 AG411 AE411 AC411 AA411 Y411 W411 U411 S411 Q411 O411 M411 K411 I411 G411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9">
    <cfRule type="cellIs" dxfId="70" priority="16" operator="equal">
      <formula>0</formula>
    </cfRule>
  </conditionalFormatting>
  <conditionalFormatting sqref="BB12">
    <cfRule type="cellIs" dxfId="69" priority="20" operator="equal">
      <formula>0</formula>
    </cfRule>
  </conditionalFormatting>
  <conditionalFormatting sqref="E12 AW12 AU12 AS12 AQ12 AO12 AM12 AK12 AI12 AG12 AE12 AC12 AA12 Y12 W12 U12 S12 Q12 O12 M12 K12 I12 G12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4 BB37:BB1048576">
    <cfRule type="cellIs" dxfId="66" priority="8" operator="equal">
      <formula>FALSE</formula>
    </cfRule>
  </conditionalFormatting>
  <conditionalFormatting sqref="BG37:BG48 BG28:BG34 BH28:BH48 BG1:BH27 BG49:BH1048576">
    <cfRule type="cellIs" dxfId="65" priority="7" operator="equal">
      <formula>"?"</formula>
    </cfRule>
  </conditionalFormatting>
  <conditionalFormatting sqref="BB35:BB36">
    <cfRule type="cellIs" dxfId="64" priority="6" operator="equal">
      <formula>FALSE</formula>
    </cfRule>
  </conditionalFormatting>
  <conditionalFormatting sqref="BG35:BG36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81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4"/>
  <sheetViews>
    <sheetView workbookViewId="0">
      <pane ySplit="1" topLeftCell="A48" activePane="bottomLeft" state="frozenSplit"/>
      <selection pane="bottomLeft" activeCell="C93" sqref="C93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1072</v>
      </c>
      <c r="B1" s="30" t="s">
        <v>31</v>
      </c>
      <c r="C1" s="30" t="s">
        <v>1056</v>
      </c>
      <c r="D1" s="30" t="s">
        <v>1057</v>
      </c>
      <c r="E1" s="30" t="s">
        <v>1073</v>
      </c>
      <c r="F1" s="30" t="s">
        <v>1074</v>
      </c>
      <c r="G1" s="30" t="s">
        <v>1058</v>
      </c>
      <c r="H1" s="30" t="s">
        <v>1059</v>
      </c>
      <c r="I1" s="30" t="s">
        <v>1075</v>
      </c>
      <c r="J1" s="30" t="s">
        <v>1076</v>
      </c>
      <c r="K1" s="30" t="s">
        <v>1060</v>
      </c>
      <c r="L1" s="30" t="s">
        <v>1061</v>
      </c>
      <c r="M1" s="30" t="s">
        <v>1088</v>
      </c>
      <c r="N1" s="30" t="s">
        <v>1089</v>
      </c>
      <c r="O1" s="30" t="s">
        <v>1062</v>
      </c>
      <c r="P1" s="30" t="s">
        <v>1063</v>
      </c>
      <c r="Q1" s="30" t="s">
        <v>1091</v>
      </c>
      <c r="R1" s="30" t="s">
        <v>1092</v>
      </c>
      <c r="S1" s="30" t="s">
        <v>1064</v>
      </c>
      <c r="T1" s="30" t="s">
        <v>1065</v>
      </c>
      <c r="U1" s="30" t="s">
        <v>1066</v>
      </c>
      <c r="V1" s="30" t="s">
        <v>1067</v>
      </c>
      <c r="W1" s="30" t="s">
        <v>1068</v>
      </c>
      <c r="X1" s="30" t="s">
        <v>1069</v>
      </c>
      <c r="Y1" s="30" t="s">
        <v>1070</v>
      </c>
      <c r="Z1" s="30" t="s">
        <v>1071</v>
      </c>
      <c r="AA1" s="30" t="s">
        <v>99</v>
      </c>
      <c r="AB1" s="95" t="s">
        <v>1376</v>
      </c>
      <c r="AC1" s="30" t="s">
        <v>1285</v>
      </c>
      <c r="AD1" s="30" t="s">
        <v>1284</v>
      </c>
      <c r="AE1" s="30" t="s">
        <v>1278</v>
      </c>
      <c r="AF1" s="30" t="s">
        <v>1226</v>
      </c>
      <c r="AG1" s="30" t="s">
        <v>1279</v>
      </c>
      <c r="AH1" s="30" t="s">
        <v>1237</v>
      </c>
      <c r="AI1" s="30" t="s">
        <v>1281</v>
      </c>
      <c r="AJ1" s="30" t="s">
        <v>1271</v>
      </c>
      <c r="AK1" s="30" t="s">
        <v>1280</v>
      </c>
      <c r="AL1" s="30" t="s">
        <v>1286</v>
      </c>
      <c r="AM1" s="30" t="s">
        <v>1235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1460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1251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1441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1239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1240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1464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1245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1242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1244</v>
      </c>
      <c r="B12" s="2" t="s">
        <v>905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1243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1241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1273</v>
      </c>
    </row>
    <row r="16" spans="1:64" s="2" customFormat="1" x14ac:dyDescent="0.2">
      <c r="A16" s="2" t="s">
        <v>1247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1246</v>
      </c>
      <c r="B17" s="2" t="s">
        <v>907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1248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1411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1250</v>
      </c>
      <c r="B22" s="2" t="s">
        <v>1167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1270</v>
      </c>
      <c r="B23" s="2" t="s">
        <v>919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1249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1252</v>
      </c>
      <c r="B26" s="2" t="s">
        <v>1168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1253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1254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1269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1255</v>
      </c>
      <c r="B30" s="2" t="s">
        <v>909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1257</v>
      </c>
      <c r="B31" s="2" t="s">
        <v>911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67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30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1</v>
      </c>
      <c r="AG31" s="49">
        <f>VLOOKUP(B31,'SegEnds_NonXtal_Prot#'!A:AL,13,FALSE)-VLOOKUP(B31,'SegEnds_NonXtal_Prot#'!A:AL,11,FALSE)</f>
        <v>2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34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1258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1</v>
      </c>
      <c r="AG32" s="49">
        <f>VLOOKUP(B32,'SegEnds_NonXtal_Prot#'!A:AL,13,FALSE)-VLOOKUP(B32,'SegEnds_NonXtal_Prot#'!A:AL,11,FALSE)</f>
        <v>2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34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1260</v>
      </c>
      <c r="B33" s="2" t="s">
        <v>1169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30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1</v>
      </c>
      <c r="AG33" s="49">
        <f>VLOOKUP(B33,'SegEnds_NonXtal_Prot#'!A:AL,13,FALSE)-VLOOKUP(B33,'SegEnds_NonXtal_Prot#'!A:AL,11,FALSE)</f>
        <v>2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34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1259</v>
      </c>
      <c r="B34" s="2" t="s">
        <v>913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30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1</v>
      </c>
      <c r="AG34" s="49">
        <f>VLOOKUP(B34,'SegEnds_NonXtal_Prot#'!A:AL,13,FALSE)-VLOOKUP(B34,'SegEnds_NonXtal_Prot#'!A:AL,11,FALSE)</f>
        <v>2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34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1256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30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1</v>
      </c>
      <c r="AG35" s="49">
        <f>VLOOKUP(B35,'SegEnds_NonXtal_Prot#'!A:AL,13,FALSE)-VLOOKUP(B35,'SegEnds_NonXtal_Prot#'!A:AL,11,FALSE)</f>
        <v>2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34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1261</v>
      </c>
      <c r="B36" s="2" t="s">
        <v>915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68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1</v>
      </c>
      <c r="AG36" s="49">
        <f>VLOOKUP(B36,'SegEnds_NonXtal_Prot#'!A:AL,13,FALSE)-VLOOKUP(B36,'SegEnds_NonXtal_Prot#'!A:AL,11,FALSE)</f>
        <v>2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34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1274</v>
      </c>
      <c r="AP36" s="2" t="s">
        <v>1276</v>
      </c>
    </row>
    <row r="37" spans="1:64" s="2" customFormat="1" x14ac:dyDescent="0.2">
      <c r="A37" s="2" t="s">
        <v>1263</v>
      </c>
      <c r="B37" s="2" t="s">
        <v>917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1262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1265</v>
      </c>
      <c r="B39" s="2" t="s">
        <v>1171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1264</v>
      </c>
      <c r="B40" s="2" t="s">
        <v>1170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1266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1267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1268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1416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37</v>
      </c>
      <c r="H52" s="2">
        <f>IFERROR(50+VLOOKUP($A52,'SegEnds_Xtal_Prot#'!$A:$AY,15,FALSE)-VLOOKUP($B52,'SegEnds_NonXtal_Prot#'!$A:$AL,10,FALSE),"-")</f>
        <v>61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23</v>
      </c>
      <c r="V52" s="2">
        <f>IFERROR(50+VLOOKUP($A52,'SegEnds_Xtal_Prot#'!$A:$AY,43,FALSE)-VLOOKUP($B52,'SegEnds_NonXtal_Prot#'!$A:$AL,31,FALSE),"-")</f>
        <v>81</v>
      </c>
      <c r="W52" s="2">
        <f>IFERROR(50+VLOOKUP($A52,'SegEnds_Xtal_Prot#'!$A:$AY,45,FALSE)-VLOOKUP($B52,'SegEnds_NonXtal_Prot#'!$A:$AL,34,FALSE),"-")</f>
        <v>31</v>
      </c>
      <c r="X52" s="2">
        <f>IFERROR(50+VLOOKUP($A52,'SegEnds_Xtal_Prot#'!$A:$AY,47,FALSE)-VLOOKUP($B52,'SegEnds_NonXtal_Prot#'!$A:$AL,34,FALSE),"-")</f>
        <v>54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65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68</v>
      </c>
    </row>
    <row r="53" spans="1:40" x14ac:dyDescent="0.2">
      <c r="A53" s="2" t="str">
        <f t="shared" si="0"/>
        <v>q98sw5_xenla__wt</v>
      </c>
      <c r="B53" s="122" t="s">
        <v>1491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59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27</v>
      </c>
      <c r="V53" s="2">
        <f>IFERROR(50+VLOOKUP($A53,'SegEnds_Xtal_Prot#'!$A:$AY,43,FALSE)-VLOOKUP($B53,'SegEnds_NonXtal_Prot#'!$A:$AL,31,FALSE),"-")</f>
        <v>84</v>
      </c>
      <c r="W53" s="2">
        <f>IFERROR(50+VLOOKUP($A53,'SegEnds_Xtal_Prot#'!$A:$AY,45,FALSE)-VLOOKUP($B53,'SegEnds_NonXtal_Prot#'!$A:$AL,34,FALSE),"-")</f>
        <v>31</v>
      </c>
      <c r="X53" s="2">
        <f>IFERROR(50+VLOOKUP($A53,'SegEnds_Xtal_Prot#'!$A:$AY,47,FALSE)-VLOOKUP($B53,'SegEnds_NonXtal_Prot#'!$A:$AL,34,FALSE),"-")</f>
        <v>54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65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68</v>
      </c>
    </row>
    <row r="54" spans="1:40" x14ac:dyDescent="0.2">
      <c r="A54" s="2" t="str">
        <f t="shared" si="0"/>
        <v>q08bg4_danre__wt</v>
      </c>
      <c r="B54" s="2" t="s">
        <v>1436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1447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38</v>
      </c>
      <c r="H67" s="2">
        <f>IFERROR(50+VLOOKUP($A67,'SegEnds_Xtal_Prot#'!$A:$AY,15,FALSE)-VLOOKUP($B67,'SegEnds_NonXtal_Prot#'!$A:$AL,10,FALSE),"-")</f>
        <v>64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31</v>
      </c>
      <c r="V67" s="2">
        <f>IFERROR(50+VLOOKUP($A67,'SegEnds_Xtal_Prot#'!$A:$AY,43,FALSE)-VLOOKUP($B67,'SegEnds_NonXtal_Prot#'!$A:$AL,31,FALSE),"-")</f>
        <v>61</v>
      </c>
      <c r="W67" s="2">
        <f>IFERROR(50+VLOOKUP($A67,'SegEnds_Xtal_Prot#'!$A:$AY,45,FALSE)-VLOOKUP($B67,'SegEnds_NonXtal_Prot#'!$A:$AL,34,FALSE),"-")</f>
        <v>31</v>
      </c>
      <c r="X67" s="2">
        <f>IFERROR(50+VLOOKUP($A67,'SegEnds_Xtal_Prot#'!$A:$AY,47,FALSE)-VLOOKUP($B67,'SegEnds_NonXtal_Prot#'!$A:$AL,34,FALSE),"-")</f>
        <v>54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65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42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1590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37</v>
      </c>
      <c r="H74" s="2">
        <f>IFERROR(50+VLOOKUP($A74,'SegEnds_Xtal_Prot#'!$A:$AY,15,FALSE)-VLOOKUP($B74,'SegEnds_NonXtal_Prot#'!$A:$AL,10,FALSE),"-")</f>
        <v>61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23</v>
      </c>
      <c r="V74" s="2">
        <f>IFERROR(50+VLOOKUP($A74,'SegEnds_Xtal_Prot#'!$A:$AY,43,FALSE)-VLOOKUP($B74,'SegEnds_NonXtal_Prot#'!$A:$AL,31,FALSE),"-")</f>
        <v>81</v>
      </c>
      <c r="W74" s="2">
        <f>IFERROR(50+VLOOKUP($A74,'SegEnds_Xtal_Prot#'!$A:$AY,45,FALSE)-VLOOKUP($B74,'SegEnds_NonXtal_Prot#'!$A:$AL,34,FALSE),"-")</f>
        <v>31</v>
      </c>
      <c r="X74" s="2">
        <f>IFERROR(50+VLOOKUP($A74,'SegEnds_Xtal_Prot#'!$A:$AY,47,FALSE)-VLOOKUP($B74,'SegEnds_NonXtal_Prot#'!$A:$AL,34,FALSE),"-")</f>
        <v>54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65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68</v>
      </c>
    </row>
    <row r="75" spans="1:39" x14ac:dyDescent="0.2">
      <c r="A75" s="2" t="str">
        <f t="shared" si="1"/>
        <v>sucr1_rat__wt</v>
      </c>
      <c r="B75" s="2" t="s">
        <v>1593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64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64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64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64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64" x14ac:dyDescent="0.2">
      <c r="A88" s="2" t="str">
        <f t="shared" ref="A88" si="13">CONCATENATE(B88,"__wt",)</f>
        <v>drd4_mouse__wt</v>
      </c>
      <c r="B88" s="2" t="s">
        <v>1690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64" x14ac:dyDescent="0.2">
      <c r="A89" s="2" t="str">
        <f t="shared" ref="A89" si="14">CONCATENATE(B89,"__wt",)</f>
        <v>ghsr_human__wt</v>
      </c>
      <c r="B89" s="2" t="s">
        <v>208</v>
      </c>
      <c r="C89" s="2">
        <f>IFERROR(50+VLOOKUP($A89,'SegEnds_Xtal_Prot#'!$A:$AY,5,FALSE)-VLOOKUP($B89,'SegEnds_NonXtal_Prot#'!$A:$AL,4,FALSE),"-")</f>
        <v>28</v>
      </c>
      <c r="D89" s="2">
        <f>IFERROR(50+VLOOKUP($A89,'SegEnds_Xtal_Prot#'!$A:$AY,7,FALSE)-VLOOKUP($B89,'SegEnds_NonXtal_Prot#'!$A:$AL,4,FALSE),"-")</f>
        <v>60</v>
      </c>
      <c r="E89" s="2">
        <f>IFERROR(50+VLOOKUP($A89,'SegEnds_Xtal_Prot#'!$A:$AY,9,FALSE)-VLOOKUP($B89,'SegEnds_NonXtal_Prot#'!$A:$AL,7,FALSE),"-")</f>
        <v>48</v>
      </c>
      <c r="F89" s="2">
        <f>IFERROR(50+VLOOKUP($A89,'SegEnds_Xtal_Prot#'!$A:$AY,11,FALSE)-VLOOKUP($B89,'SegEnds_NonXtal_Prot#'!$A:$AL,7,FALSE),"-")</f>
        <v>51</v>
      </c>
      <c r="G89" s="2">
        <f>IFERROR(50+VLOOKUP($A89,'SegEnds_Xtal_Prot#'!$A:$AY,13,FALSE)-VLOOKUP($B89,'SegEnds_NonXtal_Prot#'!$A:$AL,10,FALSE),"-")</f>
        <v>37</v>
      </c>
      <c r="H89" s="2">
        <f>IFERROR(50+VLOOKUP($A89,'SegEnds_Xtal_Prot#'!$A:$AY,15,FALSE)-VLOOKUP($B89,'SegEnds_NonXtal_Prot#'!$A:$AL,10,FALSE),"-")</f>
        <v>67</v>
      </c>
      <c r="I89" s="2">
        <f>IFERROR(50+VLOOKUP($A89,'SegEnds_Xtal_Prot#'!$A:$AY,17,FALSE)-VLOOKUP($B89,'SegEnds_NonXtal_Prot#'!$A:$AL,13,FALSE),"-")</f>
        <v>49</v>
      </c>
      <c r="J89" s="2">
        <f>IFERROR(50+VLOOKUP($A89,'SegEnds_Xtal_Prot#'!$A:$AY,19,FALSE)-VLOOKUP($B89,'SegEnds_NonXtal_Prot#'!$A:$AL,13,FALSE),"-")</f>
        <v>52</v>
      </c>
      <c r="K89" s="2">
        <f>IFERROR(50+VLOOKUP($A89,'SegEnds_Xtal_Prot#'!$A:$AY,21,FALSE)-VLOOKUP($B89,'SegEnds_NonXtal_Prot#'!$A:$AL,16,FALSE),"-")</f>
        <v>21</v>
      </c>
      <c r="L89" s="2">
        <f>IFERROR(50+VLOOKUP($A89,'SegEnds_Xtal_Prot#'!$A:$AY,23,FALSE)-VLOOKUP($B89,'SegEnds_NonXtal_Prot#'!$A:$AL,16,FALSE),"-")</f>
        <v>56</v>
      </c>
      <c r="M89" s="2">
        <f>IFERROR(50+VLOOKUP($A89,'SegEnds_Xtal_Prot#'!$A:$AY,25,FALSE)-VLOOKUP($B89,'SegEnds_NonXtal_Prot#'!$A:$AL,19,FALSE),"-")</f>
        <v>50</v>
      </c>
      <c r="N89" s="2">
        <f>IFERROR(50+VLOOKUP($A89,'SegEnds_Xtal_Prot#'!$A:$AY,27,FALSE)-VLOOKUP($B89,'SegEnds_NonXtal_Prot#'!$A:$AL,19,FALSE),"-")</f>
        <v>57</v>
      </c>
      <c r="O89" s="2">
        <f>IFERROR(50+VLOOKUP($A89,'SegEnds_Xtal_Prot#'!$A:$AY,29,FALSE)-VLOOKUP($B89,'SegEnds_NonXtal_Prot#'!$A:$AL,22,FALSE),"-")</f>
        <v>38</v>
      </c>
      <c r="P89" s="2">
        <f>IFERROR(50+VLOOKUP($A89,'SegEnds_Xtal_Prot#'!$A:$AY,31,FALSE)-VLOOKUP($B89,'SegEnds_NonXtal_Prot#'!$A:$AL,22,FALSE),"-")</f>
        <v>64</v>
      </c>
      <c r="Q89" s="2">
        <f>IFERROR(50+VLOOKUP($A89,'SegEnds_Xtal_Prot#'!$A:$AY,33,FALSE)-VLOOKUP($B89,'SegEnds_NonXtal_Prot#'!$A:$AL,25,FALSE),"-")</f>
        <v>50</v>
      </c>
      <c r="R89" s="2">
        <f>IFERROR(50+VLOOKUP($A89,'SegEnds_Xtal_Prot#'!$A:$AY,35,FALSE)-VLOOKUP($B89,'SegEnds_NonXtal_Prot#'!$A:$AL,25,FALSE),"-")</f>
        <v>52</v>
      </c>
      <c r="S89" s="2">
        <f>IFERROR(50+VLOOKUP($A89,'SegEnds_Xtal_Prot#'!$A:$AY,37,FALSE)-VLOOKUP($B89,'SegEnds_NonXtal_Prot#'!$A:$AL,28,FALSE),"-")</f>
        <v>34</v>
      </c>
      <c r="T89" s="2">
        <f>IFERROR(50+VLOOKUP($A89,'SegEnds_Xtal_Prot#'!$A:$AY,39,FALSE)-VLOOKUP($B89,'SegEnds_NonXtal_Prot#'!$A:$AL,28,FALSE),"-")</f>
        <v>72</v>
      </c>
      <c r="U89" s="2">
        <f>IFERROR(50+VLOOKUP($A89,'SegEnds_Xtal_Prot#'!$A:$AY,41,FALSE)-VLOOKUP($B89,'SegEnds_NonXtal_Prot#'!$A:$AL,31,FALSE),"-")</f>
        <v>24</v>
      </c>
      <c r="V89" s="2">
        <f>IFERROR(50+VLOOKUP($A89,'SegEnds_Xtal_Prot#'!$A:$AY,43,FALSE)-VLOOKUP($B89,'SegEnds_NonXtal_Prot#'!$A:$AL,31,FALSE),"-")</f>
        <v>61</v>
      </c>
      <c r="W89" s="2">
        <f>IFERROR(50+VLOOKUP($A89,'SegEnds_Xtal_Prot#'!$A:$AY,45,FALSE)-VLOOKUP($B89,'SegEnds_NonXtal_Prot#'!$A:$AL,34,FALSE),"-")</f>
        <v>28</v>
      </c>
      <c r="X89" s="2">
        <f>IFERROR(50+VLOOKUP($A89,'SegEnds_Xtal_Prot#'!$A:$AY,47,FALSE)-VLOOKUP($B89,'SegEnds_NonXtal_Prot#'!$A:$AL,34,FALSE),"-")</f>
        <v>56</v>
      </c>
      <c r="Y89" s="2">
        <f>IFERROR(50+VLOOKUP($A89,'SegEnds_Xtal_Prot#'!$A:$AY,49,FALSE)-VLOOKUP($B89,'SegEnds_NonXtal_Prot#'!$A:$AL,37,FALSE),"-")</f>
        <v>47</v>
      </c>
      <c r="Z89" s="2">
        <f>IFERROR(50+VLOOKUP($A89,'SegEnds_Xtal_Prot#'!$A:$AY,51,FALSE)-VLOOKUP($B89,'SegEnds_NonXtal_Prot#'!$A:$AL,37,FALSE),"-")</f>
        <v>62</v>
      </c>
      <c r="AA89" s="49" t="str">
        <f>VLOOKUP(B89,Classification!A:D,2,FALSE)</f>
        <v>A</v>
      </c>
      <c r="AB89" s="94" t="str">
        <f>VLOOKUP(B89,Classification!A:D,4,0)</f>
        <v>Ghrelin</v>
      </c>
      <c r="AC89" s="49">
        <f>VLOOKUP(B89,'SegEnds_NonXtal_Prot#'!A:AL,6,FALSE)-VLOOKUP(B89,'SegEnds_NonXtal_Prot#'!A:AL,5,FALSE)</f>
        <v>1</v>
      </c>
      <c r="AD89" s="49">
        <f>VLOOKUP(B89,'SegEnds_NonXtal_Prot#'!A:AL,9,FALSE)-VLOOKUP(B89,'SegEnds_NonXtal_Prot#'!A:AL,8,FALSE)</f>
        <v>1</v>
      </c>
      <c r="AE89" s="49">
        <f>VLOOKUP(B89,'SegEnds_NonXtal_Prot#'!A:AL,13,FALSE)-VLOOKUP(B89,'SegEnds_NonXtal_Prot#'!A:AL,10,FALSE)</f>
        <v>20</v>
      </c>
      <c r="AF89" s="49">
        <f>VLOOKUP(B89,'SegEnds_NonXtal_Prot#'!A:AL,12,FALSE)-VLOOKUP(B89,'SegEnds_NonXtal_Prot#'!A:AL,11,FALSE)</f>
        <v>2</v>
      </c>
      <c r="AG89" s="49">
        <f>VLOOKUP(B89,'SegEnds_NonXtal_Prot#'!A:AL,13,FALSE)-VLOOKUP(B89,'SegEnds_NonXtal_Prot#'!A:AL,11,FALSE)</f>
        <v>3</v>
      </c>
      <c r="AH89" s="49">
        <f>VLOOKUP(B89,'SegEnds_NonXtal_Prot#'!A:AL,16,FALSE)-VLOOKUP(B89,'SegEnds_NonXtal_Prot#'!A:AL,10,FALSE)</f>
        <v>52</v>
      </c>
      <c r="AI89" s="49">
        <f>VLOOKUP(B89,'SegEnds_NonXtal_Prot#'!A:AL,16,FALSE)-VLOOKUP(B89,'SegEnds_NonXtal_Prot#'!A:AL,11,FALSE)</f>
        <v>35</v>
      </c>
      <c r="AJ89" s="49">
        <f>VLOOKUP(B89,'SegEnds_NonXtal_Prot#'!A:AL,22,FALSE)-VLOOKUP(B89,'SegEnds_NonXtal_Prot#'!A:AL,19,FALSE)</f>
        <v>20</v>
      </c>
      <c r="AK89" s="49">
        <f>VLOOKUP(B89,'SegEnds_NonXtal_Prot#'!A:AL,15,FALSE)-VLOOKUP(B89,'SegEnds_NonXtal_Prot#'!A:AL,14,FALSE)</f>
        <v>1</v>
      </c>
      <c r="AL89" s="49">
        <f>VLOOKUP(B89,'SegEnds_NonXtal_Prot#'!A:AL,18,FALSE)-VLOOKUP(B89,'SegEnds_NonXtal_Prot#'!A:AL,17,FALSE)</f>
        <v>1</v>
      </c>
      <c r="AM89" s="2">
        <f>VLOOKUP(B89,'SegEnds_NonXtal_Prot#'!A:AL,34,FALSE)-VLOOKUP(B89,'SegEnds_NonXtal_Prot#'!A:AL,31,FALSE)</f>
        <v>42</v>
      </c>
    </row>
    <row r="90" spans="1:64" x14ac:dyDescent="0.2">
      <c r="A90" s="2" t="str">
        <f t="shared" ref="A90" si="15">CONCATENATE(B90,"__wt",)</f>
        <v>oxyr_human__wt</v>
      </c>
      <c r="B90" s="2" t="s">
        <v>343</v>
      </c>
      <c r="C90" s="2">
        <f>IFERROR(50+VLOOKUP($A90,'SegEnds_Xtal_Prot#'!$A:$AY,5,FALSE)-VLOOKUP($B90,'SegEnds_NonXtal_Prot#'!$A:$AL,4,FALSE),"-")</f>
        <v>28</v>
      </c>
      <c r="D90" s="2">
        <f>IFERROR(50+VLOOKUP($A90,'SegEnds_Xtal_Prot#'!$A:$AY,7,FALSE)-VLOOKUP($B90,'SegEnds_NonXtal_Prot#'!$A:$AL,4,FALSE),"-")</f>
        <v>60</v>
      </c>
      <c r="E90" s="2">
        <f>IFERROR(50+VLOOKUP($A90,'SegEnds_Xtal_Prot#'!$A:$AY,9,FALSE)-VLOOKUP($B90,'SegEnds_NonXtal_Prot#'!$A:$AL,7,FALSE),"-")</f>
        <v>48</v>
      </c>
      <c r="F90" s="2">
        <f>IFERROR(50+VLOOKUP($A90,'SegEnds_Xtal_Prot#'!$A:$AY,11,FALSE)-VLOOKUP($B90,'SegEnds_NonXtal_Prot#'!$A:$AL,7,FALSE),"-")</f>
        <v>51</v>
      </c>
      <c r="G90" s="2">
        <f>IFERROR(50+VLOOKUP($A90,'SegEnds_Xtal_Prot#'!$A:$AY,13,FALSE)-VLOOKUP($B90,'SegEnds_NonXtal_Prot#'!$A:$AL,10,FALSE),"-")</f>
        <v>37</v>
      </c>
      <c r="H90" s="2">
        <f>IFERROR(50+VLOOKUP($A90,'SegEnds_Xtal_Prot#'!$A:$AY,15,FALSE)-VLOOKUP($B90,'SegEnds_NonXtal_Prot#'!$A:$AL,10,FALSE),"-")</f>
        <v>67</v>
      </c>
      <c r="I90" s="2">
        <f>IFERROR(50+VLOOKUP($A90,'SegEnds_Xtal_Prot#'!$A:$AY,17,FALSE)-VLOOKUP($B90,'SegEnds_NonXtal_Prot#'!$A:$AL,13,FALSE),"-")</f>
        <v>49</v>
      </c>
      <c r="J90" s="2">
        <f>IFERROR(50+VLOOKUP($A90,'SegEnds_Xtal_Prot#'!$A:$AY,19,FALSE)-VLOOKUP($B90,'SegEnds_NonXtal_Prot#'!$A:$AL,13,FALSE),"-")</f>
        <v>52</v>
      </c>
      <c r="K90" s="2">
        <f>IFERROR(50+VLOOKUP($A90,'SegEnds_Xtal_Prot#'!$A:$AY,21,FALSE)-VLOOKUP($B90,'SegEnds_NonXtal_Prot#'!$A:$AL,16,FALSE),"-")</f>
        <v>21</v>
      </c>
      <c r="L90" s="2">
        <f>IFERROR(50+VLOOKUP($A90,'SegEnds_Xtal_Prot#'!$A:$AY,23,FALSE)-VLOOKUP($B90,'SegEnds_NonXtal_Prot#'!$A:$AL,16,FALSE),"-")</f>
        <v>56</v>
      </c>
      <c r="M90" s="2" t="str">
        <f>IFERROR(50+VLOOKUP($A90,'SegEnds_Xtal_Prot#'!$A:$AY,25,FALSE)-VLOOKUP($B90,'SegEnds_NonXtal_Prot#'!$A:$AL,19,FALSE),"-")</f>
        <v>-</v>
      </c>
      <c r="N90" s="2" t="str">
        <f>IFERROR(50+VLOOKUP($A90,'SegEnds_Xtal_Prot#'!$A:$AY,27,FALSE)-VLOOKUP($B90,'SegEnds_NonXtal_Prot#'!$A:$AL,19,FALSE),"-")</f>
        <v>-</v>
      </c>
      <c r="O90" s="2">
        <f>IFERROR(50+VLOOKUP($A90,'SegEnds_Xtal_Prot#'!$A:$AY,29,FALSE)-VLOOKUP($B90,'SegEnds_NonXtal_Prot#'!$A:$AL,22,FALSE),"-")</f>
        <v>38</v>
      </c>
      <c r="P90" s="2">
        <f>IFERROR(50+VLOOKUP($A90,'SegEnds_Xtal_Prot#'!$A:$AY,31,FALSE)-VLOOKUP($B90,'SegEnds_NonXtal_Prot#'!$A:$AL,22,FALSE),"-")</f>
        <v>64</v>
      </c>
      <c r="Q90" s="2">
        <f>IFERROR(50+VLOOKUP($A90,'SegEnds_Xtal_Prot#'!$A:$AY,33,FALSE)-VLOOKUP($B90,'SegEnds_NonXtal_Prot#'!$A:$AL,25,FALSE),"-")</f>
        <v>50</v>
      </c>
      <c r="R90" s="2">
        <f>IFERROR(50+VLOOKUP($A90,'SegEnds_Xtal_Prot#'!$A:$AY,35,FALSE)-VLOOKUP($B90,'SegEnds_NonXtal_Prot#'!$A:$AL,25,FALSE),"-")</f>
        <v>52</v>
      </c>
      <c r="S90" s="2">
        <f>IFERROR(50+VLOOKUP($A90,'SegEnds_Xtal_Prot#'!$A:$AY,37,FALSE)-VLOOKUP($B90,'SegEnds_NonXtal_Prot#'!$A:$AL,28,FALSE),"-")</f>
        <v>33</v>
      </c>
      <c r="T90" s="2">
        <f>IFERROR(50+VLOOKUP($A90,'SegEnds_Xtal_Prot#'!$A:$AY,39,FALSE)-VLOOKUP($B90,'SegEnds_NonXtal_Prot#'!$A:$AL,28,FALSE),"-")</f>
        <v>76</v>
      </c>
      <c r="U90" s="2">
        <f>IFERROR(50+VLOOKUP($A90,'SegEnds_Xtal_Prot#'!$A:$AY,41,FALSE)-VLOOKUP($B90,'SegEnds_NonXtal_Prot#'!$A:$AL,31,FALSE),"-")</f>
        <v>24</v>
      </c>
      <c r="V90" s="2">
        <f>IFERROR(50+VLOOKUP($A90,'SegEnds_Xtal_Prot#'!$A:$AY,43,FALSE)-VLOOKUP($B90,'SegEnds_NonXtal_Prot#'!$A:$AL,31,FALSE),"-")</f>
        <v>60</v>
      </c>
      <c r="W90" s="2">
        <f>IFERROR(50+VLOOKUP($A90,'SegEnds_Xtal_Prot#'!$A:$AY,45,FALSE)-VLOOKUP($B90,'SegEnds_NonXtal_Prot#'!$A:$AL,34,FALSE),"-")</f>
        <v>30</v>
      </c>
      <c r="X90" s="2">
        <f>IFERROR(50+VLOOKUP($A90,'SegEnds_Xtal_Prot#'!$A:$AY,47,FALSE)-VLOOKUP($B90,'SegEnds_NonXtal_Prot#'!$A:$AL,34,FALSE),"-")</f>
        <v>56</v>
      </c>
      <c r="Y90" s="2">
        <f>IFERROR(50+VLOOKUP($A90,'SegEnds_Xtal_Prot#'!$A:$AY,49,FALSE)-VLOOKUP($B90,'SegEnds_NonXtal_Prot#'!$A:$AL,37,FALSE),"-")</f>
        <v>47</v>
      </c>
      <c r="Z90" s="2">
        <f>IFERROR(50+VLOOKUP($A90,'SegEnds_Xtal_Prot#'!$A:$AY,51,FALSE)-VLOOKUP($B90,'SegEnds_NonXtal_Prot#'!$A:$AL,37,FALSE),"-")</f>
        <v>63</v>
      </c>
      <c r="AA90" s="49" t="str">
        <f>VLOOKUP(B90,Classification!A:D,2,FALSE)</f>
        <v>A</v>
      </c>
      <c r="AB90" s="94" t="str">
        <f>VLOOKUP(B90,Classification!A:D,4,0)</f>
        <v>Vasopressinandoxytocin</v>
      </c>
      <c r="AC90" s="49">
        <f>VLOOKUP(B90,'SegEnds_NonXtal_Prot#'!A:AL,6,FALSE)-VLOOKUP(B90,'SegEnds_NonXtal_Prot#'!A:AL,5,FALSE)</f>
        <v>1</v>
      </c>
      <c r="AD90" s="49">
        <f>VLOOKUP(B90,'SegEnds_NonXtal_Prot#'!A:AL,9,FALSE)-VLOOKUP(B90,'SegEnds_NonXtal_Prot#'!A:AL,8,FALSE)</f>
        <v>1</v>
      </c>
      <c r="AE90" s="49">
        <f>VLOOKUP(B90,'SegEnds_NonXtal_Prot#'!A:AL,13,FALSE)-VLOOKUP(B90,'SegEnds_NonXtal_Prot#'!A:AL,10,FALSE)</f>
        <v>20</v>
      </c>
      <c r="AF90" s="49">
        <f>VLOOKUP(B90,'SegEnds_NonXtal_Prot#'!A:AL,12,FALSE)-VLOOKUP(B90,'SegEnds_NonXtal_Prot#'!A:AL,11,FALSE)</f>
        <v>2</v>
      </c>
      <c r="AG90" s="49">
        <f>VLOOKUP(B90,'SegEnds_NonXtal_Prot#'!A:AL,13,FALSE)-VLOOKUP(B90,'SegEnds_NonXtal_Prot#'!A:AL,11,FALSE)</f>
        <v>3</v>
      </c>
      <c r="AH90" s="49">
        <f>VLOOKUP(B90,'SegEnds_NonXtal_Prot#'!A:AL,16,FALSE)-VLOOKUP(B90,'SegEnds_NonXtal_Prot#'!A:AL,10,FALSE)</f>
        <v>52</v>
      </c>
      <c r="AI90" s="49">
        <f>VLOOKUP(B90,'SegEnds_NonXtal_Prot#'!A:AL,16,FALSE)-VLOOKUP(B90,'SegEnds_NonXtal_Prot#'!A:AL,11,FALSE)</f>
        <v>35</v>
      </c>
      <c r="AJ90" s="49" t="e">
        <f>VLOOKUP(B90,'SegEnds_NonXtal_Prot#'!A:AL,22,FALSE)-VLOOKUP(B90,'SegEnds_NonXtal_Prot#'!A:AL,19,FALSE)</f>
        <v>#VALUE!</v>
      </c>
      <c r="AK90" s="49">
        <f>VLOOKUP(B90,'SegEnds_NonXtal_Prot#'!A:AL,15,FALSE)-VLOOKUP(B90,'SegEnds_NonXtal_Prot#'!A:AL,14,FALSE)</f>
        <v>1</v>
      </c>
      <c r="AL90" s="49" t="e">
        <f>VLOOKUP(B90,'SegEnds_NonXtal_Prot#'!A:AL,18,FALSE)-VLOOKUP(B90,'SegEnds_NonXtal_Prot#'!A:AL,17,FALSE)</f>
        <v>#VALUE!</v>
      </c>
      <c r="AM90" s="2">
        <f>VLOOKUP(B90,'SegEnds_NonXtal_Prot#'!A:AL,34,FALSE)-VLOOKUP(B90,'SegEnds_NonXtal_Prot#'!A:AL,31,FALSE)</f>
        <v>36</v>
      </c>
    </row>
    <row r="91" spans="1:64" x14ac:dyDescent="0.2">
      <c r="A91" s="2" t="str">
        <f t="shared" ref="A91" si="16">CONCATENATE(B91,"__wt",)</f>
        <v>sctr_human__wt</v>
      </c>
      <c r="B91" s="2" t="s">
        <v>410</v>
      </c>
      <c r="C91" s="2">
        <f>IFERROR(50+VLOOKUP($A91,'SegEnds_Xtal_Prot#'!$A:$AY,5,FALSE)-VLOOKUP($B91,'SegEnds_NonXtal_Prot#'!$A:$AL,4,FALSE),"-")</f>
        <v>24</v>
      </c>
      <c r="D91" s="2">
        <f>IFERROR(50+VLOOKUP($A91,'SegEnds_Xtal_Prot#'!$A:$AY,7,FALSE)-VLOOKUP($B91,'SegEnds_NonXtal_Prot#'!$A:$AL,4,FALSE),"-")</f>
        <v>60</v>
      </c>
      <c r="E91" s="2">
        <f>IFERROR(50+VLOOKUP($A91,'SegEnds_Xtal_Prot#'!$A:$AY,9,FALSE)-VLOOKUP($B91,'SegEnds_NonXtal_Prot#'!$A:$AL,7,FALSE),"-")</f>
        <v>48</v>
      </c>
      <c r="F91" s="2">
        <f>IFERROR(50+VLOOKUP($A91,'SegEnds_Xtal_Prot#'!$A:$AY,11,FALSE)-VLOOKUP($B91,'SegEnds_NonXtal_Prot#'!$A:$AL,7,FALSE),"-")</f>
        <v>51</v>
      </c>
      <c r="G91" s="2">
        <f>IFERROR(50+VLOOKUP($A91,'SegEnds_Xtal_Prot#'!$A:$AY,13,FALSE)-VLOOKUP($B91,'SegEnds_NonXtal_Prot#'!$A:$AL,10,FALSE),"-")</f>
        <v>37</v>
      </c>
      <c r="H91" s="2">
        <f>IFERROR(50+VLOOKUP($A91,'SegEnds_Xtal_Prot#'!$A:$AY,15,FALSE)-VLOOKUP($B91,'SegEnds_NonXtal_Prot#'!$A:$AL,10,FALSE),"-")</f>
        <v>64</v>
      </c>
      <c r="I91" s="2" t="str">
        <f>IFERROR(50+VLOOKUP($A91,'SegEnds_Xtal_Prot#'!$A:$AY,17,FALSE)-VLOOKUP($B91,'SegEnds_NonXtal_Prot#'!$A:$AL,13,FALSE),"-")</f>
        <v>-</v>
      </c>
      <c r="J91" s="2" t="str">
        <f>IFERROR(50+VLOOKUP($A91,'SegEnds_Xtal_Prot#'!$A:$AY,19,FALSE)-VLOOKUP($B91,'SegEnds_NonXtal_Prot#'!$A:$AL,13,FALSE),"-")</f>
        <v>-</v>
      </c>
      <c r="K91" s="2">
        <f>IFERROR(50+VLOOKUP($A91,'SegEnds_Xtal_Prot#'!$A:$AY,21,FALSE)-VLOOKUP($B91,'SegEnds_NonXtal_Prot#'!$A:$AL,16,FALSE),"-")</f>
        <v>22</v>
      </c>
      <c r="L91" s="2">
        <f>IFERROR(50+VLOOKUP($A91,'SegEnds_Xtal_Prot#'!$A:$AY,23,FALSE)-VLOOKUP($B91,'SegEnds_NonXtal_Prot#'!$A:$AL,16,FALSE),"-")</f>
        <v>56</v>
      </c>
      <c r="M91" s="2" t="str">
        <f>IFERROR(50+VLOOKUP($A91,'SegEnds_Xtal_Prot#'!$A:$AY,25,FALSE)-VLOOKUP($B91,'SegEnds_NonXtal_Prot#'!$A:$AL,19,FALSE),"-")</f>
        <v>-</v>
      </c>
      <c r="N91" s="2" t="str">
        <f>IFERROR(50+VLOOKUP($A91,'SegEnds_Xtal_Prot#'!$A:$AY,27,FALSE)-VLOOKUP($B91,'SegEnds_NonXtal_Prot#'!$A:$AL,19,FALSE),"-")</f>
        <v>-</v>
      </c>
      <c r="O91" s="2">
        <f>IFERROR(50+VLOOKUP($A91,'SegEnds_Xtal_Prot#'!$A:$AY,29,FALSE)-VLOOKUP($B91,'SegEnds_NonXtal_Prot#'!$A:$AL,22,FALSE),"-")</f>
        <v>40</v>
      </c>
      <c r="P91" s="2">
        <f>IFERROR(50+VLOOKUP($A91,'SegEnds_Xtal_Prot#'!$A:$AY,31,FALSE)-VLOOKUP($B91,'SegEnds_NonXtal_Prot#'!$A:$AL,22,FALSE),"-")</f>
        <v>68</v>
      </c>
      <c r="Q91" s="2">
        <f>IFERROR(50+VLOOKUP($A91,'SegEnds_Xtal_Prot#'!$A:$AY,33,FALSE)-VLOOKUP($B91,'SegEnds_NonXtal_Prot#'!$A:$AL,25,FALSE),"-")</f>
        <v>50</v>
      </c>
      <c r="R91" s="2">
        <f>IFERROR(50+VLOOKUP($A91,'SegEnds_Xtal_Prot#'!$A:$AY,35,FALSE)-VLOOKUP($B91,'SegEnds_NonXtal_Prot#'!$A:$AL,25,FALSE),"-")</f>
        <v>52</v>
      </c>
      <c r="S91" s="2">
        <f>IFERROR(50+VLOOKUP($A91,'SegEnds_Xtal_Prot#'!$A:$AY,37,FALSE)-VLOOKUP($B91,'SegEnds_NonXtal_Prot#'!$A:$AL,28,FALSE),"-")</f>
        <v>36</v>
      </c>
      <c r="T91" s="2">
        <f>IFERROR(50+VLOOKUP($A91,'SegEnds_Xtal_Prot#'!$A:$AY,39,FALSE)-VLOOKUP($B91,'SegEnds_NonXtal_Prot#'!$A:$AL,28,FALSE),"-")</f>
        <v>71</v>
      </c>
      <c r="U91" s="2">
        <f>IFERROR(50+VLOOKUP($A91,'SegEnds_Xtal_Prot#'!$A:$AY,41,FALSE)-VLOOKUP($B91,'SegEnds_NonXtal_Prot#'!$A:$AL,31,FALSE),"-")</f>
        <v>25</v>
      </c>
      <c r="V91" s="2">
        <f>IFERROR(50+VLOOKUP($A91,'SegEnds_Xtal_Prot#'!$A:$AY,43,FALSE)-VLOOKUP($B91,'SegEnds_NonXtal_Prot#'!$A:$AL,31,FALSE),"-")</f>
        <v>54</v>
      </c>
      <c r="W91" s="2">
        <f>IFERROR(50+VLOOKUP($A91,'SegEnds_Xtal_Prot#'!$A:$AY,45,FALSE)-VLOOKUP($B91,'SegEnds_NonXtal_Prot#'!$A:$AL,34,FALSE),"-")</f>
        <v>30</v>
      </c>
      <c r="X91" s="2">
        <f>IFERROR(50+VLOOKUP($A91,'SegEnds_Xtal_Prot#'!$A:$AY,47,FALSE)-VLOOKUP($B91,'SegEnds_NonXtal_Prot#'!$A:$AL,34,FALSE),"-")</f>
        <v>56</v>
      </c>
      <c r="Y91" s="2">
        <f>IFERROR(50+VLOOKUP($A91,'SegEnds_Xtal_Prot#'!$A:$AY,49,FALSE)-VLOOKUP($B91,'SegEnds_NonXtal_Prot#'!$A:$AL,37,FALSE),"-")</f>
        <v>47</v>
      </c>
      <c r="Z91" s="2">
        <f>IFERROR(50+VLOOKUP($A91,'SegEnds_Xtal_Prot#'!$A:$AY,51,FALSE)-VLOOKUP($B91,'SegEnds_NonXtal_Prot#'!$A:$AL,37,FALSE),"-")</f>
        <v>72</v>
      </c>
      <c r="AA91" s="49" t="str">
        <f>VLOOKUP(B91,Classification!A:D,2,FALSE)</f>
        <v>B1</v>
      </c>
      <c r="AB91" s="94" t="str">
        <f>VLOOKUP(B91,Classification!A:D,4,0)</f>
        <v>Glucagonreceptorfamily</v>
      </c>
      <c r="AC91" s="49">
        <f>VLOOKUP(B91,'SegEnds_NonXtal_Prot#'!A:AL,6,FALSE)-VLOOKUP(B91,'SegEnds_NonXtal_Prot#'!A:AL,5,FALSE)</f>
        <v>1</v>
      </c>
      <c r="AD91" s="49">
        <f>VLOOKUP(B91,'SegEnds_NonXtal_Prot#'!A:AL,9,FALSE)-VLOOKUP(B91,'SegEnds_NonXtal_Prot#'!A:AL,8,FALSE)</f>
        <v>1</v>
      </c>
      <c r="AE91" s="49" t="e">
        <f>VLOOKUP(B91,'SegEnds_NonXtal_Prot#'!A:AL,13,FALSE)-VLOOKUP(B91,'SegEnds_NonXtal_Prot#'!A:AL,10,FALSE)</f>
        <v>#VALUE!</v>
      </c>
      <c r="AF91" s="49" t="e">
        <f>VLOOKUP(B91,'SegEnds_NonXtal_Prot#'!A:AL,12,FALSE)-VLOOKUP(B91,'SegEnds_NonXtal_Prot#'!A:AL,11,FALSE)</f>
        <v>#VALUE!</v>
      </c>
      <c r="AG91" s="49" t="e">
        <f>VLOOKUP(B91,'SegEnds_NonXtal_Prot#'!A:AL,13,FALSE)-VLOOKUP(B91,'SegEnds_NonXtal_Prot#'!A:AL,11,FALSE)</f>
        <v>#VALUE!</v>
      </c>
      <c r="AH91" s="49">
        <f>VLOOKUP(B91,'SegEnds_NonXtal_Prot#'!A:AL,16,FALSE)-VLOOKUP(B91,'SegEnds_NonXtal_Prot#'!A:AL,10,FALSE)</f>
        <v>55</v>
      </c>
      <c r="AI91" s="49">
        <f>VLOOKUP(B91,'SegEnds_NonXtal_Prot#'!A:AL,16,FALSE)-VLOOKUP(B91,'SegEnds_NonXtal_Prot#'!A:AL,11,FALSE)</f>
        <v>41</v>
      </c>
      <c r="AJ91" s="49" t="e">
        <f>VLOOKUP(B91,'SegEnds_NonXtal_Prot#'!A:AL,22,FALSE)-VLOOKUP(B91,'SegEnds_NonXtal_Prot#'!A:AL,19,FALSE)</f>
        <v>#VALUE!</v>
      </c>
      <c r="AK91" s="49" t="e">
        <f>VLOOKUP(B91,'SegEnds_NonXtal_Prot#'!A:AL,15,FALSE)-VLOOKUP(B91,'SegEnds_NonXtal_Prot#'!A:AL,14,FALSE)</f>
        <v>#VALUE!</v>
      </c>
      <c r="AL91" s="49" t="e">
        <f>VLOOKUP(B91,'SegEnds_NonXtal_Prot#'!A:AL,18,FALSE)-VLOOKUP(B91,'SegEnds_NonXtal_Prot#'!A:AL,17,FALSE)</f>
        <v>#VALUE!</v>
      </c>
      <c r="AM91" s="2">
        <f>VLOOKUP(B91,'SegEnds_NonXtal_Prot#'!A:AL,34,FALSE)-VLOOKUP(B91,'SegEnds_NonXtal_Prot#'!A:AL,31,FALSE)</f>
        <v>28</v>
      </c>
    </row>
    <row r="92" spans="1:64" x14ac:dyDescent="0.2">
      <c r="A92" s="2" t="str">
        <f t="shared" ref="A92" si="17">CONCATENATE(B92,"__wt",)</f>
        <v>gabr2_human__wt</v>
      </c>
      <c r="B92" s="2" t="s">
        <v>107</v>
      </c>
      <c r="C92" s="2">
        <f>IFERROR(50+VLOOKUP($A92,'SegEnds_Xtal_Prot#'!$A:$AY,5,FALSE)-VLOOKUP($B92,'SegEnds_NonXtal_Prot#'!$A:$AL,4,FALSE),"-")</f>
        <v>32</v>
      </c>
      <c r="D92" s="2">
        <f>IFERROR(50+VLOOKUP($A92,'SegEnds_Xtal_Prot#'!$A:$AY,7,FALSE)-VLOOKUP($B92,'SegEnds_NonXtal_Prot#'!$A:$AL,4,FALSE),"-")</f>
        <v>60</v>
      </c>
      <c r="E92" s="2">
        <f>IFERROR(50+VLOOKUP($A92,'SegEnds_Xtal_Prot#'!$A:$AY,9,FALSE)-VLOOKUP($B92,'SegEnds_NonXtal_Prot#'!$A:$AL,7,FALSE),"-")</f>
        <v>47</v>
      </c>
      <c r="F92" s="2">
        <f>IFERROR(50+VLOOKUP($A92,'SegEnds_Xtal_Prot#'!$A:$AY,11,FALSE)-VLOOKUP($B92,'SegEnds_NonXtal_Prot#'!$A:$AL,7,FALSE),"-")</f>
        <v>53</v>
      </c>
      <c r="G92" s="2">
        <f>IFERROR(50+VLOOKUP($A92,'SegEnds_Xtal_Prot#'!$A:$AY,13,FALSE)-VLOOKUP($B92,'SegEnds_NonXtal_Prot#'!$A:$AL,10,FALSE),"-")</f>
        <v>39</v>
      </c>
      <c r="H92" s="2">
        <f>IFERROR(50+VLOOKUP($A92,'SegEnds_Xtal_Prot#'!$A:$AY,15,FALSE)-VLOOKUP($B92,'SegEnds_NonXtal_Prot#'!$A:$AL,10,FALSE),"-")</f>
        <v>61</v>
      </c>
      <c r="I92" s="2" t="str">
        <f>IFERROR(50+VLOOKUP($A92,'SegEnds_Xtal_Prot#'!$A:$AY,17,FALSE)-VLOOKUP($B92,'SegEnds_NonXtal_Prot#'!$A:$AL,13,FALSE),"-")</f>
        <v>-</v>
      </c>
      <c r="J92" s="2" t="str">
        <f>IFERROR(50+VLOOKUP($A92,'SegEnds_Xtal_Prot#'!$A:$AY,19,FALSE)-VLOOKUP($B92,'SegEnds_NonXtal_Prot#'!$A:$AL,13,FALSE),"-")</f>
        <v>-</v>
      </c>
      <c r="K92" s="2">
        <f>IFERROR(50+VLOOKUP($A92,'SegEnds_Xtal_Prot#'!$A:$AY,21,FALSE)-VLOOKUP($B92,'SegEnds_NonXtal_Prot#'!$A:$AL,16,FALSE),"-")</f>
        <v>17</v>
      </c>
      <c r="L92" s="2">
        <f>IFERROR(50+VLOOKUP($A92,'SegEnds_Xtal_Prot#'!$A:$AY,23,FALSE)-VLOOKUP($B92,'SegEnds_NonXtal_Prot#'!$A:$AL,16,FALSE),"-")</f>
        <v>55</v>
      </c>
      <c r="M92" s="2" t="str">
        <f>IFERROR(50+VLOOKUP($A92,'SegEnds_Xtal_Prot#'!$A:$AY,25,FALSE)-VLOOKUP($B92,'SegEnds_NonXtal_Prot#'!$A:$AL,19,FALSE),"-")</f>
        <v>-</v>
      </c>
      <c r="N92" s="2" t="str">
        <f>IFERROR(50+VLOOKUP($A92,'SegEnds_Xtal_Prot#'!$A:$AY,27,FALSE)-VLOOKUP($B92,'SegEnds_NonXtal_Prot#'!$A:$AL,19,FALSE),"-")</f>
        <v>-</v>
      </c>
      <c r="O92" s="2">
        <f>IFERROR(50+VLOOKUP($A92,'SegEnds_Xtal_Prot#'!$A:$AY,29,FALSE)-VLOOKUP($B92,'SegEnds_NonXtal_Prot#'!$A:$AL,22,FALSE),"-")</f>
        <v>38</v>
      </c>
      <c r="P92" s="2">
        <f>IFERROR(50+VLOOKUP($A92,'SegEnds_Xtal_Prot#'!$A:$AY,31,FALSE)-VLOOKUP($B92,'SegEnds_NonXtal_Prot#'!$A:$AL,22,FALSE),"-")</f>
        <v>64</v>
      </c>
      <c r="Q92" s="2">
        <f>IFERROR(50+VLOOKUP($A92,'SegEnds_Xtal_Prot#'!$A:$AY,33,FALSE)-VLOOKUP($B92,'SegEnds_NonXtal_Prot#'!$A:$AL,25,FALSE),"-")</f>
        <v>50</v>
      </c>
      <c r="R92" s="2">
        <f>IFERROR(50+VLOOKUP($A92,'SegEnds_Xtal_Prot#'!$A:$AY,35,FALSE)-VLOOKUP($B92,'SegEnds_NonXtal_Prot#'!$A:$AL,25,FALSE),"-")</f>
        <v>52</v>
      </c>
      <c r="S92" s="2">
        <f>IFERROR(50+VLOOKUP($A92,'SegEnds_Xtal_Prot#'!$A:$AY,37,FALSE)-VLOOKUP($B92,'SegEnds_NonXtal_Prot#'!$A:$AL,28,FALSE),"-")</f>
        <v>35</v>
      </c>
      <c r="T92" s="2">
        <f>IFERROR(50+VLOOKUP($A92,'SegEnds_Xtal_Prot#'!$A:$AY,39,FALSE)-VLOOKUP($B92,'SegEnds_NonXtal_Prot#'!$A:$AL,28,FALSE),"-")</f>
        <v>64</v>
      </c>
      <c r="U92" s="2">
        <f>IFERROR(50+VLOOKUP($A92,'SegEnds_Xtal_Prot#'!$A:$AY,41,FALSE)-VLOOKUP($B92,'SegEnds_NonXtal_Prot#'!$A:$AL,31,FALSE),"-")</f>
        <v>33</v>
      </c>
      <c r="V92" s="2">
        <f>IFERROR(50+VLOOKUP($A92,'SegEnds_Xtal_Prot#'!$A:$AY,43,FALSE)-VLOOKUP($B92,'SegEnds_NonXtal_Prot#'!$A:$AL,31,FALSE),"-")</f>
        <v>58</v>
      </c>
      <c r="W92" s="2">
        <f>IFERROR(50+VLOOKUP($A92,'SegEnds_Xtal_Prot#'!$A:$AY,45,FALSE)-VLOOKUP($B92,'SegEnds_NonXtal_Prot#'!$A:$AL,34,FALSE),"-")</f>
        <v>30</v>
      </c>
      <c r="X92" s="2">
        <f>IFERROR(50+VLOOKUP($A92,'SegEnds_Xtal_Prot#'!$A:$AY,47,FALSE)-VLOOKUP($B92,'SegEnds_NonXtal_Prot#'!$A:$AL,34,FALSE),"-")</f>
        <v>64</v>
      </c>
      <c r="Y92" s="2">
        <f>IFERROR(50+VLOOKUP($A92,'SegEnds_Xtal_Prot#'!$A:$AY,49,FALSE)-VLOOKUP($B92,'SegEnds_NonXtal_Prot#'!$A:$AL,37,FALSE),"-")</f>
        <v>46</v>
      </c>
      <c r="Z92" s="2">
        <f>IFERROR(50+VLOOKUP($A92,'SegEnds_Xtal_Prot#'!$A:$AY,51,FALSE)-VLOOKUP($B92,'SegEnds_NonXtal_Prot#'!$A:$AL,37,FALSE),"-")</f>
        <v>57</v>
      </c>
      <c r="AA92" s="49" t="str">
        <f>VLOOKUP(B92,Classification!A:D,2,FALSE)</f>
        <v>C</v>
      </c>
      <c r="AB92" s="94" t="str">
        <f>VLOOKUP(B92,Classification!A:D,4,0)</f>
        <v>GABA&lt;sub&gt;B&lt;/sub&gt;</v>
      </c>
      <c r="AC92" s="49">
        <f>VLOOKUP(B92,'SegEnds_NonXtal_Prot#'!A:AL,6,FALSE)-VLOOKUP(B92,'SegEnds_NonXtal_Prot#'!A:AL,5,FALSE)</f>
        <v>3</v>
      </c>
      <c r="AD92" s="49">
        <f>VLOOKUP(B92,'SegEnds_NonXtal_Prot#'!A:AL,9,FALSE)-VLOOKUP(B92,'SegEnds_NonXtal_Prot#'!A:AL,8,FALSE)</f>
        <v>1</v>
      </c>
      <c r="AE92" s="49" t="e">
        <f>VLOOKUP(B92,'SegEnds_NonXtal_Prot#'!A:AL,13,FALSE)-VLOOKUP(B92,'SegEnds_NonXtal_Prot#'!A:AL,10,FALSE)</f>
        <v>#VALUE!</v>
      </c>
      <c r="AF92" s="49" t="e">
        <f>VLOOKUP(B92,'SegEnds_NonXtal_Prot#'!A:AL,12,FALSE)-VLOOKUP(B92,'SegEnds_NonXtal_Prot#'!A:AL,11,FALSE)</f>
        <v>#VALUE!</v>
      </c>
      <c r="AG92" s="49" t="e">
        <f>VLOOKUP(B92,'SegEnds_NonXtal_Prot#'!A:AL,13,FALSE)-VLOOKUP(B92,'SegEnds_NonXtal_Prot#'!A:AL,11,FALSE)</f>
        <v>#VALUE!</v>
      </c>
      <c r="AH92" s="49">
        <f>VLOOKUP(B92,'SegEnds_NonXtal_Prot#'!A:AL,16,FALSE)-VLOOKUP(B92,'SegEnds_NonXtal_Prot#'!A:AL,10,FALSE)</f>
        <v>51</v>
      </c>
      <c r="AI92" s="49">
        <f>VLOOKUP(B92,'SegEnds_NonXtal_Prot#'!A:AL,16,FALSE)-VLOOKUP(B92,'SegEnds_NonXtal_Prot#'!A:AL,11,FALSE)</f>
        <v>40</v>
      </c>
      <c r="AJ92" s="49" t="e">
        <f>VLOOKUP(B92,'SegEnds_NonXtal_Prot#'!A:AL,22,FALSE)-VLOOKUP(B92,'SegEnds_NonXtal_Prot#'!A:AL,19,FALSE)</f>
        <v>#VALUE!</v>
      </c>
      <c r="AK92" s="49" t="e">
        <f>VLOOKUP(B92,'SegEnds_NonXtal_Prot#'!A:AL,15,FALSE)-VLOOKUP(B92,'SegEnds_NonXtal_Prot#'!A:AL,14,FALSE)</f>
        <v>#VALUE!</v>
      </c>
      <c r="AL92" s="49" t="e">
        <f>VLOOKUP(B92,'SegEnds_NonXtal_Prot#'!A:AL,18,FALSE)-VLOOKUP(B92,'SegEnds_NonXtal_Prot#'!A:AL,17,FALSE)</f>
        <v>#VALUE!</v>
      </c>
      <c r="AM92" s="2">
        <f>VLOOKUP(B92,'SegEnds_NonXtal_Prot#'!A:AL,34,FALSE)-VLOOKUP(B92,'SegEnds_NonXtal_Prot#'!A:AL,31,FALSE)</f>
        <v>31</v>
      </c>
    </row>
    <row r="93" spans="1:64" x14ac:dyDescent="0.2">
      <c r="A93" s="2" t="str">
        <f t="shared" ref="A93" si="18">CONCATENATE(B93,"__wt",)</f>
        <v>gabr1_human__wt</v>
      </c>
      <c r="B93" s="2" t="s">
        <v>106</v>
      </c>
      <c r="C93" s="2">
        <f>IFERROR(50+VLOOKUP($A93,'SegEnds_Xtal_Prot#'!$A:$AY,5,FALSE)-VLOOKUP($B93,'SegEnds_NonXtal_Prot#'!$A:$AL,4,FALSE),"-")</f>
        <v>34</v>
      </c>
      <c r="D93" s="2">
        <f>IFERROR(50+VLOOKUP($A93,'SegEnds_Xtal_Prot#'!$A:$AY,7,FALSE)-VLOOKUP($B93,'SegEnds_NonXtal_Prot#'!$A:$AL,4,FALSE),"-")</f>
        <v>60</v>
      </c>
      <c r="E93" s="2">
        <f>IFERROR(50+VLOOKUP($A93,'SegEnds_Xtal_Prot#'!$A:$AY,9,FALSE)-VLOOKUP($B93,'SegEnds_NonXtal_Prot#'!$A:$AL,7,FALSE),"-")</f>
        <v>47</v>
      </c>
      <c r="F93" s="2">
        <f>IFERROR(50+VLOOKUP($A93,'SegEnds_Xtal_Prot#'!$A:$AY,11,FALSE)-VLOOKUP($B93,'SegEnds_NonXtal_Prot#'!$A:$AL,7,FALSE),"-")</f>
        <v>53</v>
      </c>
      <c r="G93" s="2">
        <f>IFERROR(50+VLOOKUP($A93,'SegEnds_Xtal_Prot#'!$A:$AY,13,FALSE)-VLOOKUP($B93,'SegEnds_NonXtal_Prot#'!$A:$AL,10,FALSE),"-")</f>
        <v>39</v>
      </c>
      <c r="H93" s="2">
        <f>IFERROR(50+VLOOKUP($A93,'SegEnds_Xtal_Prot#'!$A:$AY,15,FALSE)-VLOOKUP($B93,'SegEnds_NonXtal_Prot#'!$A:$AL,10,FALSE),"-")</f>
        <v>62</v>
      </c>
      <c r="I93" s="2" t="str">
        <f>IFERROR(50+VLOOKUP($A93,'SegEnds_Xtal_Prot#'!$A:$AY,17,FALSE)-VLOOKUP($B93,'SegEnds_NonXtal_Prot#'!$A:$AL,13,FALSE),"-")</f>
        <v>-</v>
      </c>
      <c r="J93" s="2" t="str">
        <f>IFERROR(50+VLOOKUP($A93,'SegEnds_Xtal_Prot#'!$A:$AY,19,FALSE)-VLOOKUP($B93,'SegEnds_NonXtal_Prot#'!$A:$AL,13,FALSE),"-")</f>
        <v>-</v>
      </c>
      <c r="K93" s="2">
        <f>IFERROR(50+VLOOKUP($A93,'SegEnds_Xtal_Prot#'!$A:$AY,21,FALSE)-VLOOKUP($B93,'SegEnds_NonXtal_Prot#'!$A:$AL,16,FALSE),"-")</f>
        <v>20</v>
      </c>
      <c r="L93" s="2">
        <f>IFERROR(50+VLOOKUP($A93,'SegEnds_Xtal_Prot#'!$A:$AY,23,FALSE)-VLOOKUP($B93,'SegEnds_NonXtal_Prot#'!$A:$AL,16,FALSE),"-")</f>
        <v>54</v>
      </c>
      <c r="M93" s="2" t="str">
        <f>IFERROR(50+VLOOKUP($A93,'SegEnds_Xtal_Prot#'!$A:$AY,25,FALSE)-VLOOKUP($B93,'SegEnds_NonXtal_Prot#'!$A:$AL,19,FALSE),"-")</f>
        <v>-</v>
      </c>
      <c r="N93" s="2" t="str">
        <f>IFERROR(50+VLOOKUP($A93,'SegEnds_Xtal_Prot#'!$A:$AY,27,FALSE)-VLOOKUP($B93,'SegEnds_NonXtal_Prot#'!$A:$AL,19,FALSE),"-")</f>
        <v>-</v>
      </c>
      <c r="O93" s="2">
        <f>IFERROR(50+VLOOKUP($A93,'SegEnds_Xtal_Prot#'!$A:$AY,29,FALSE)-VLOOKUP($B93,'SegEnds_NonXtal_Prot#'!$A:$AL,22,FALSE),"-")</f>
        <v>38</v>
      </c>
      <c r="P93" s="2">
        <f>IFERROR(50+VLOOKUP($A93,'SegEnds_Xtal_Prot#'!$A:$AY,31,FALSE)-VLOOKUP($B93,'SegEnds_NonXtal_Prot#'!$A:$AL,22,FALSE),"-")</f>
        <v>64</v>
      </c>
      <c r="Q93" s="2">
        <f>IFERROR(50+VLOOKUP($A93,'SegEnds_Xtal_Prot#'!$A:$AY,33,FALSE)-VLOOKUP($B93,'SegEnds_NonXtal_Prot#'!$A:$AL,25,FALSE),"-")</f>
        <v>50</v>
      </c>
      <c r="R93" s="2">
        <f>IFERROR(50+VLOOKUP($A93,'SegEnds_Xtal_Prot#'!$A:$AY,35,FALSE)-VLOOKUP($B93,'SegEnds_NonXtal_Prot#'!$A:$AL,25,FALSE),"-")</f>
        <v>52</v>
      </c>
      <c r="S93" s="2">
        <f>IFERROR(50+VLOOKUP($A93,'SegEnds_Xtal_Prot#'!$A:$AY,37,FALSE)-VLOOKUP($B93,'SegEnds_NonXtal_Prot#'!$A:$AL,28,FALSE),"-")</f>
        <v>35</v>
      </c>
      <c r="T93" s="2">
        <f>IFERROR(50+VLOOKUP($A93,'SegEnds_Xtal_Prot#'!$A:$AY,39,FALSE)-VLOOKUP($B93,'SegEnds_NonXtal_Prot#'!$A:$AL,28,FALSE),"-")</f>
        <v>62</v>
      </c>
      <c r="U93" s="2">
        <f>IFERROR(50+VLOOKUP($A93,'SegEnds_Xtal_Prot#'!$A:$AY,41,FALSE)-VLOOKUP($B93,'SegEnds_NonXtal_Prot#'!$A:$AL,31,FALSE),"-")</f>
        <v>33</v>
      </c>
      <c r="V93" s="2">
        <f>IFERROR(50+VLOOKUP($A93,'SegEnds_Xtal_Prot#'!$A:$AY,43,FALSE)-VLOOKUP($B93,'SegEnds_NonXtal_Prot#'!$A:$AL,31,FALSE),"-")</f>
        <v>58</v>
      </c>
      <c r="W93" s="2">
        <f>IFERROR(50+VLOOKUP($A93,'SegEnds_Xtal_Prot#'!$A:$AY,45,FALSE)-VLOOKUP($B93,'SegEnds_NonXtal_Prot#'!$A:$AL,34,FALSE),"-")</f>
        <v>33</v>
      </c>
      <c r="X93" s="2">
        <f>IFERROR(50+VLOOKUP($A93,'SegEnds_Xtal_Prot#'!$A:$AY,47,FALSE)-VLOOKUP($B93,'SegEnds_NonXtal_Prot#'!$A:$AL,34,FALSE),"-")</f>
        <v>64</v>
      </c>
      <c r="Y93" s="2">
        <f>IFERROR(50+VLOOKUP($A93,'SegEnds_Xtal_Prot#'!$A:$AY,49,FALSE)-VLOOKUP($B93,'SegEnds_NonXtal_Prot#'!$A:$AL,37,FALSE),"-")</f>
        <v>46</v>
      </c>
      <c r="Z93" s="2">
        <f>IFERROR(50+VLOOKUP($A93,'SegEnds_Xtal_Prot#'!$A:$AY,51,FALSE)-VLOOKUP($B93,'SegEnds_NonXtal_Prot#'!$A:$AL,37,FALSE),"-")</f>
        <v>57</v>
      </c>
      <c r="AA93" s="49" t="str">
        <f>VLOOKUP(B93,Classification!A:D,2,FALSE)</f>
        <v>C</v>
      </c>
      <c r="AB93" s="94" t="str">
        <f>VLOOKUP(B93,Classification!A:D,4,0)</f>
        <v>GABA&lt;sub&gt;B&lt;/sub&gt;</v>
      </c>
      <c r="AC93" s="49">
        <f>VLOOKUP(B93,'SegEnds_NonXtal_Prot#'!A:AL,6,FALSE)-VLOOKUP(B93,'SegEnds_NonXtal_Prot#'!A:AL,5,FALSE)</f>
        <v>3</v>
      </c>
      <c r="AD93" s="49">
        <f>VLOOKUP(B93,'SegEnds_NonXtal_Prot#'!A:AL,9,FALSE)-VLOOKUP(B93,'SegEnds_NonXtal_Prot#'!A:AL,8,FALSE)</f>
        <v>1</v>
      </c>
      <c r="AE93" s="49" t="e">
        <f>VLOOKUP(B93,'SegEnds_NonXtal_Prot#'!A:AL,13,FALSE)-VLOOKUP(B93,'SegEnds_NonXtal_Prot#'!A:AL,10,FALSE)</f>
        <v>#VALUE!</v>
      </c>
      <c r="AF93" s="49" t="e">
        <f>VLOOKUP(B93,'SegEnds_NonXtal_Prot#'!A:AL,12,FALSE)-VLOOKUP(B93,'SegEnds_NonXtal_Prot#'!A:AL,11,FALSE)</f>
        <v>#VALUE!</v>
      </c>
      <c r="AG93" s="49" t="e">
        <f>VLOOKUP(B93,'SegEnds_NonXtal_Prot#'!A:AL,13,FALSE)-VLOOKUP(B93,'SegEnds_NonXtal_Prot#'!A:AL,11,FALSE)</f>
        <v>#VALUE!</v>
      </c>
      <c r="AH93" s="49">
        <f>VLOOKUP(B93,'SegEnds_NonXtal_Prot#'!A:AL,16,FALSE)-VLOOKUP(B93,'SegEnds_NonXtal_Prot#'!A:AL,10,FALSE)</f>
        <v>51</v>
      </c>
      <c r="AI93" s="49">
        <f>VLOOKUP(B93,'SegEnds_NonXtal_Prot#'!A:AL,16,FALSE)-VLOOKUP(B93,'SegEnds_NonXtal_Prot#'!A:AL,11,FALSE)</f>
        <v>39</v>
      </c>
      <c r="AJ93" s="49" t="e">
        <f>VLOOKUP(B93,'SegEnds_NonXtal_Prot#'!A:AL,22,FALSE)-VLOOKUP(B93,'SegEnds_NonXtal_Prot#'!A:AL,19,FALSE)</f>
        <v>#VALUE!</v>
      </c>
      <c r="AK93" s="49" t="e">
        <f>VLOOKUP(B93,'SegEnds_NonXtal_Prot#'!A:AL,15,FALSE)-VLOOKUP(B93,'SegEnds_NonXtal_Prot#'!A:AL,14,FALSE)</f>
        <v>#VALUE!</v>
      </c>
      <c r="AL93" s="49" t="e">
        <f>VLOOKUP(B93,'SegEnds_NonXtal_Prot#'!A:AL,18,FALSE)-VLOOKUP(B93,'SegEnds_NonXtal_Prot#'!A:AL,17,FALSE)</f>
        <v>#VALUE!</v>
      </c>
      <c r="AM93" s="2">
        <f>VLOOKUP(B93,'SegEnds_NonXtal_Prot#'!A:AL,34,FALSE)-VLOOKUP(B93,'SegEnds_NonXtal_Prot#'!A:AL,31,FALSE)</f>
        <v>31</v>
      </c>
    </row>
    <row r="94" spans="1:64" x14ac:dyDescent="0.2">
      <c r="A94" s="4"/>
      <c r="B94" s="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49"/>
      <c r="AB94" s="96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2"/>
      <c r="AN94" s="38"/>
      <c r="AO94" s="30" t="s">
        <v>1056</v>
      </c>
      <c r="AP94" s="30" t="s">
        <v>1057</v>
      </c>
      <c r="AQ94" s="30" t="s">
        <v>1073</v>
      </c>
      <c r="AR94" s="30" t="s">
        <v>1074</v>
      </c>
      <c r="AS94" s="30" t="s">
        <v>1058</v>
      </c>
      <c r="AT94" s="30" t="s">
        <v>1059</v>
      </c>
      <c r="AU94" s="30" t="s">
        <v>1075</v>
      </c>
      <c r="AV94" s="30" t="s">
        <v>1076</v>
      </c>
      <c r="AW94" s="30" t="s">
        <v>1060</v>
      </c>
      <c r="AX94" s="30" t="s">
        <v>1061</v>
      </c>
      <c r="AY94" s="30" t="s">
        <v>1088</v>
      </c>
      <c r="AZ94" s="30" t="s">
        <v>1089</v>
      </c>
      <c r="BA94" s="30" t="s">
        <v>1062</v>
      </c>
      <c r="BB94" s="30" t="s">
        <v>1063</v>
      </c>
      <c r="BC94" s="30" t="s">
        <v>1091</v>
      </c>
      <c r="BD94" s="30" t="s">
        <v>1092</v>
      </c>
      <c r="BE94" s="30" t="s">
        <v>1064</v>
      </c>
      <c r="BF94" s="30" t="s">
        <v>1065</v>
      </c>
      <c r="BG94" s="30" t="s">
        <v>1066</v>
      </c>
      <c r="BH94" s="30" t="s">
        <v>1067</v>
      </c>
      <c r="BI94" s="30" t="s">
        <v>1068</v>
      </c>
      <c r="BJ94" s="30" t="s">
        <v>1069</v>
      </c>
      <c r="BK94" s="30" t="s">
        <v>1070</v>
      </c>
      <c r="BL94" s="30" t="s">
        <v>1071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N95" s="38" t="s">
        <v>1</v>
      </c>
      <c r="AO95" s="4">
        <f t="shared" ref="AO95:BL95" si="19">MAX(C2:C42)</f>
        <v>34</v>
      </c>
      <c r="AP95" s="4">
        <f t="shared" si="19"/>
        <v>64</v>
      </c>
      <c r="AQ95" s="4">
        <f t="shared" si="19"/>
        <v>48</v>
      </c>
      <c r="AR95" s="4">
        <f t="shared" si="19"/>
        <v>52</v>
      </c>
      <c r="AS95" s="4">
        <f t="shared" si="19"/>
        <v>38</v>
      </c>
      <c r="AT95" s="4">
        <f t="shared" si="19"/>
        <v>69</v>
      </c>
      <c r="AU95" s="4">
        <f t="shared" si="19"/>
        <v>50</v>
      </c>
      <c r="AV95" s="4">
        <f t="shared" si="19"/>
        <v>53</v>
      </c>
      <c r="AW95" s="4">
        <f t="shared" si="19"/>
        <v>21</v>
      </c>
      <c r="AX95" s="4">
        <f t="shared" si="19"/>
        <v>56</v>
      </c>
      <c r="AY95" s="4">
        <f t="shared" si="19"/>
        <v>50</v>
      </c>
      <c r="AZ95" s="4">
        <f t="shared" si="19"/>
        <v>58</v>
      </c>
      <c r="BA95" s="4">
        <f t="shared" si="19"/>
        <v>38</v>
      </c>
      <c r="BB95" s="4">
        <f t="shared" si="19"/>
        <v>69</v>
      </c>
      <c r="BC95" s="4">
        <f t="shared" si="19"/>
        <v>50</v>
      </c>
      <c r="BD95" s="4">
        <f t="shared" si="19"/>
        <v>52</v>
      </c>
      <c r="BE95" s="4">
        <f t="shared" si="19"/>
        <v>36</v>
      </c>
      <c r="BF95" s="4">
        <f t="shared" si="19"/>
        <v>77</v>
      </c>
      <c r="BG95" s="4">
        <f t="shared" si="19"/>
        <v>30</v>
      </c>
      <c r="BH95" s="4">
        <f t="shared" si="19"/>
        <v>65</v>
      </c>
      <c r="BI95" s="4">
        <f t="shared" si="19"/>
        <v>32</v>
      </c>
      <c r="BJ95" s="4">
        <f t="shared" si="19"/>
        <v>56</v>
      </c>
      <c r="BK95" s="4">
        <f t="shared" si="19"/>
        <v>47</v>
      </c>
      <c r="BL95" s="4">
        <f t="shared" si="19"/>
        <v>69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O96" s="4">
        <f t="shared" ref="AO96:BL96" si="20">MIN(C2:C42)</f>
        <v>22</v>
      </c>
      <c r="AP96" s="4">
        <f t="shared" si="20"/>
        <v>60</v>
      </c>
      <c r="AQ96" s="4">
        <f t="shared" si="20"/>
        <v>48</v>
      </c>
      <c r="AR96" s="4">
        <f t="shared" si="20"/>
        <v>51</v>
      </c>
      <c r="AS96" s="4">
        <f t="shared" si="20"/>
        <v>34</v>
      </c>
      <c r="AT96" s="4">
        <f t="shared" si="20"/>
        <v>63</v>
      </c>
      <c r="AU96" s="4">
        <f t="shared" si="20"/>
        <v>47</v>
      </c>
      <c r="AV96" s="4">
        <f t="shared" si="20"/>
        <v>52</v>
      </c>
      <c r="AW96" s="4">
        <f t="shared" si="20"/>
        <v>18</v>
      </c>
      <c r="AX96" s="4">
        <f t="shared" si="20"/>
        <v>55</v>
      </c>
      <c r="AY96" s="4">
        <f t="shared" si="20"/>
        <v>50</v>
      </c>
      <c r="AZ96" s="4">
        <f t="shared" si="20"/>
        <v>53</v>
      </c>
      <c r="BA96" s="4">
        <f t="shared" si="20"/>
        <v>35</v>
      </c>
      <c r="BB96" s="4">
        <f t="shared" si="20"/>
        <v>62</v>
      </c>
      <c r="BC96" s="4">
        <f t="shared" si="20"/>
        <v>50</v>
      </c>
      <c r="BD96" s="4">
        <f t="shared" si="20"/>
        <v>52</v>
      </c>
      <c r="BE96" s="4">
        <f t="shared" si="20"/>
        <v>28</v>
      </c>
      <c r="BF96" s="4">
        <f t="shared" si="20"/>
        <v>67</v>
      </c>
      <c r="BG96" s="4">
        <f t="shared" si="20"/>
        <v>18</v>
      </c>
      <c r="BH96" s="4">
        <f t="shared" si="20"/>
        <v>60</v>
      </c>
      <c r="BI96" s="4">
        <f t="shared" si="20"/>
        <v>24</v>
      </c>
      <c r="BJ96" s="4">
        <f t="shared" si="20"/>
        <v>55</v>
      </c>
      <c r="BK96" s="4">
        <f t="shared" si="20"/>
        <v>47</v>
      </c>
      <c r="BL96" s="4">
        <f t="shared" si="20"/>
        <v>57</v>
      </c>
    </row>
    <row r="97" spans="3:64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O97" s="4">
        <f t="shared" ref="AO97:BL97" si="21">AO95-AO96</f>
        <v>12</v>
      </c>
      <c r="AP97" s="4">
        <f t="shared" si="21"/>
        <v>4</v>
      </c>
      <c r="AQ97" s="4">
        <f t="shared" si="21"/>
        <v>0</v>
      </c>
      <c r="AR97" s="4">
        <f t="shared" si="21"/>
        <v>1</v>
      </c>
      <c r="AS97" s="4">
        <f t="shared" si="21"/>
        <v>4</v>
      </c>
      <c r="AT97" s="4">
        <f t="shared" si="21"/>
        <v>6</v>
      </c>
      <c r="AU97" s="4">
        <f t="shared" si="21"/>
        <v>3</v>
      </c>
      <c r="AV97" s="4">
        <f t="shared" si="21"/>
        <v>1</v>
      </c>
      <c r="AW97" s="4">
        <f t="shared" si="21"/>
        <v>3</v>
      </c>
      <c r="AX97" s="4">
        <f t="shared" si="21"/>
        <v>1</v>
      </c>
      <c r="AY97" s="4">
        <f t="shared" si="21"/>
        <v>0</v>
      </c>
      <c r="AZ97" s="4">
        <f t="shared" si="21"/>
        <v>5</v>
      </c>
      <c r="BA97" s="4">
        <f t="shared" si="21"/>
        <v>3</v>
      </c>
      <c r="BB97" s="4">
        <f t="shared" si="21"/>
        <v>7</v>
      </c>
      <c r="BC97" s="4">
        <f t="shared" si="21"/>
        <v>0</v>
      </c>
      <c r="BD97" s="4">
        <f t="shared" si="21"/>
        <v>0</v>
      </c>
      <c r="BE97" s="4">
        <f t="shared" si="21"/>
        <v>8</v>
      </c>
      <c r="BF97" s="4">
        <f t="shared" si="21"/>
        <v>10</v>
      </c>
      <c r="BG97" s="4">
        <f t="shared" si="21"/>
        <v>12</v>
      </c>
      <c r="BH97" s="4">
        <f t="shared" si="21"/>
        <v>5</v>
      </c>
      <c r="BI97" s="4">
        <f t="shared" si="21"/>
        <v>8</v>
      </c>
      <c r="BJ97" s="4">
        <f t="shared" si="21"/>
        <v>1</v>
      </c>
      <c r="BK97" s="4">
        <f t="shared" si="21"/>
        <v>0</v>
      </c>
      <c r="BL97" s="4">
        <f t="shared" si="21"/>
        <v>12</v>
      </c>
    </row>
    <row r="98" spans="3:64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N98" s="38" t="s">
        <v>1277</v>
      </c>
      <c r="AO98" s="4">
        <f t="shared" ref="AO98:BL98" si="22">MAX(C43:C46)</f>
        <v>29</v>
      </c>
      <c r="AP98" s="4">
        <f t="shared" si="22"/>
        <v>60</v>
      </c>
      <c r="AQ98" s="4">
        <f t="shared" si="22"/>
        <v>48</v>
      </c>
      <c r="AR98" s="4">
        <f t="shared" si="22"/>
        <v>51</v>
      </c>
      <c r="AS98" s="4">
        <f t="shared" si="22"/>
        <v>37</v>
      </c>
      <c r="AT98" s="4">
        <f t="shared" si="22"/>
        <v>66</v>
      </c>
      <c r="AU98" s="4">
        <f t="shared" si="22"/>
        <v>49</v>
      </c>
      <c r="AV98" s="4">
        <f t="shared" si="22"/>
        <v>52</v>
      </c>
      <c r="AW98" s="4">
        <f t="shared" si="22"/>
        <v>23</v>
      </c>
      <c r="AX98" s="4">
        <f t="shared" si="22"/>
        <v>56</v>
      </c>
      <c r="AY98" s="4">
        <f t="shared" si="22"/>
        <v>50</v>
      </c>
      <c r="AZ98" s="4">
        <f t="shared" si="22"/>
        <v>57</v>
      </c>
      <c r="BA98" s="4">
        <f t="shared" si="22"/>
        <v>41</v>
      </c>
      <c r="BB98" s="4">
        <f t="shared" si="22"/>
        <v>68</v>
      </c>
      <c r="BC98" s="4">
        <f t="shared" si="22"/>
        <v>50</v>
      </c>
      <c r="BD98" s="4">
        <f t="shared" si="22"/>
        <v>52</v>
      </c>
      <c r="BE98" s="4">
        <f t="shared" si="22"/>
        <v>40</v>
      </c>
      <c r="BF98" s="4">
        <f t="shared" si="22"/>
        <v>70</v>
      </c>
      <c r="BG98" s="4">
        <f t="shared" si="22"/>
        <v>30</v>
      </c>
      <c r="BH98" s="4">
        <f t="shared" si="22"/>
        <v>65</v>
      </c>
      <c r="BI98" s="4">
        <f t="shared" si="22"/>
        <v>31</v>
      </c>
      <c r="BJ98" s="4">
        <f t="shared" si="22"/>
        <v>56</v>
      </c>
      <c r="BK98" s="4">
        <f t="shared" si="22"/>
        <v>47</v>
      </c>
      <c r="BL98" s="4">
        <f t="shared" si="22"/>
        <v>72</v>
      </c>
    </row>
    <row r="99" spans="3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O99" s="4">
        <f t="shared" ref="AO99:BL99" si="23">MIN(C43:C46)</f>
        <v>19</v>
      </c>
      <c r="AP99" s="4">
        <f t="shared" si="23"/>
        <v>60</v>
      </c>
      <c r="AQ99" s="4">
        <f t="shared" si="23"/>
        <v>48</v>
      </c>
      <c r="AR99" s="4">
        <f t="shared" si="23"/>
        <v>51</v>
      </c>
      <c r="AS99" s="4">
        <f t="shared" si="23"/>
        <v>37</v>
      </c>
      <c r="AT99" s="4">
        <f t="shared" si="23"/>
        <v>63</v>
      </c>
      <c r="AU99" s="4">
        <f t="shared" si="23"/>
        <v>47</v>
      </c>
      <c r="AV99" s="4">
        <f t="shared" si="23"/>
        <v>52</v>
      </c>
      <c r="AW99" s="4">
        <f t="shared" si="23"/>
        <v>21</v>
      </c>
      <c r="AX99" s="4">
        <f t="shared" si="23"/>
        <v>56</v>
      </c>
      <c r="AY99" s="4">
        <f t="shared" si="23"/>
        <v>50</v>
      </c>
      <c r="AZ99" s="4">
        <f t="shared" si="23"/>
        <v>56</v>
      </c>
      <c r="BA99" s="4">
        <f t="shared" si="23"/>
        <v>38</v>
      </c>
      <c r="BB99" s="4">
        <f t="shared" si="23"/>
        <v>62</v>
      </c>
      <c r="BC99" s="4">
        <f t="shared" si="23"/>
        <v>50</v>
      </c>
      <c r="BD99" s="4">
        <f t="shared" si="23"/>
        <v>52</v>
      </c>
      <c r="BE99" s="4">
        <f t="shared" si="23"/>
        <v>31</v>
      </c>
      <c r="BF99" s="4">
        <f t="shared" si="23"/>
        <v>67</v>
      </c>
      <c r="BG99" s="4">
        <f t="shared" si="23"/>
        <v>25</v>
      </c>
      <c r="BH99" s="4">
        <f t="shared" si="23"/>
        <v>53</v>
      </c>
      <c r="BI99" s="4">
        <f t="shared" si="23"/>
        <v>28</v>
      </c>
      <c r="BJ99" s="4">
        <f t="shared" si="23"/>
        <v>56</v>
      </c>
      <c r="BK99" s="4">
        <f t="shared" si="23"/>
        <v>47</v>
      </c>
      <c r="BL99" s="4">
        <f t="shared" si="23"/>
        <v>61</v>
      </c>
    </row>
    <row r="100" spans="3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AO98-AO99</f>
        <v>10</v>
      </c>
      <c r="AP100" s="4">
        <f t="shared" si="24"/>
        <v>0</v>
      </c>
      <c r="AQ100" s="4">
        <f t="shared" si="24"/>
        <v>0</v>
      </c>
      <c r="AR100" s="4">
        <f t="shared" si="24"/>
        <v>0</v>
      </c>
      <c r="AS100" s="4">
        <f t="shared" si="24"/>
        <v>0</v>
      </c>
      <c r="AT100" s="4">
        <f t="shared" si="24"/>
        <v>3</v>
      </c>
      <c r="AU100" s="4">
        <f t="shared" si="24"/>
        <v>2</v>
      </c>
      <c r="AV100" s="4">
        <f t="shared" si="24"/>
        <v>0</v>
      </c>
      <c r="AW100" s="4">
        <f t="shared" si="24"/>
        <v>2</v>
      </c>
      <c r="AX100" s="4">
        <f t="shared" si="24"/>
        <v>0</v>
      </c>
      <c r="AY100" s="4">
        <f t="shared" si="24"/>
        <v>0</v>
      </c>
      <c r="AZ100" s="4">
        <f t="shared" si="24"/>
        <v>1</v>
      </c>
      <c r="BA100" s="4">
        <f t="shared" si="24"/>
        <v>3</v>
      </c>
      <c r="BB100" s="4">
        <f t="shared" si="24"/>
        <v>6</v>
      </c>
      <c r="BC100" s="4">
        <f t="shared" si="24"/>
        <v>0</v>
      </c>
      <c r="BD100" s="4">
        <f t="shared" si="24"/>
        <v>0</v>
      </c>
      <c r="BE100" s="4">
        <f t="shared" si="24"/>
        <v>9</v>
      </c>
      <c r="BF100" s="4">
        <f t="shared" si="24"/>
        <v>3</v>
      </c>
      <c r="BG100" s="4">
        <f t="shared" si="24"/>
        <v>5</v>
      </c>
      <c r="BH100" s="4">
        <f t="shared" si="24"/>
        <v>12</v>
      </c>
      <c r="BI100" s="4">
        <f t="shared" si="24"/>
        <v>3</v>
      </c>
      <c r="BJ100" s="4">
        <f t="shared" si="24"/>
        <v>0</v>
      </c>
      <c r="BK100" s="4">
        <f t="shared" si="24"/>
        <v>0</v>
      </c>
      <c r="BL100" s="4">
        <f t="shared" si="24"/>
        <v>11</v>
      </c>
    </row>
    <row r="101" spans="3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N101" s="38" t="s">
        <v>27</v>
      </c>
      <c r="AO101" s="4">
        <f t="shared" ref="AO101:BL101" si="25">MAX(C47:C50)</f>
        <v>34</v>
      </c>
      <c r="AP101" s="4">
        <f t="shared" si="25"/>
        <v>60</v>
      </c>
      <c r="AQ101" s="4">
        <f t="shared" si="25"/>
        <v>48</v>
      </c>
      <c r="AR101" s="4">
        <f t="shared" si="25"/>
        <v>53</v>
      </c>
      <c r="AS101" s="4">
        <f t="shared" si="25"/>
        <v>39</v>
      </c>
      <c r="AT101" s="4">
        <f t="shared" si="25"/>
        <v>74</v>
      </c>
      <c r="AU101" s="4">
        <f t="shared" si="25"/>
        <v>0</v>
      </c>
      <c r="AV101" s="4">
        <f t="shared" si="25"/>
        <v>0</v>
      </c>
      <c r="AW101" s="4">
        <f t="shared" si="25"/>
        <v>23</v>
      </c>
      <c r="AX101" s="4">
        <f t="shared" si="25"/>
        <v>56</v>
      </c>
      <c r="AY101" s="4">
        <f t="shared" si="25"/>
        <v>0</v>
      </c>
      <c r="AZ101" s="4">
        <f t="shared" si="25"/>
        <v>0</v>
      </c>
      <c r="BA101" s="4">
        <f t="shared" si="25"/>
        <v>40</v>
      </c>
      <c r="BB101" s="4">
        <f t="shared" si="25"/>
        <v>68</v>
      </c>
      <c r="BC101" s="4">
        <f t="shared" si="25"/>
        <v>50</v>
      </c>
      <c r="BD101" s="4">
        <f t="shared" si="25"/>
        <v>52</v>
      </c>
      <c r="BE101" s="4">
        <f t="shared" si="25"/>
        <v>40</v>
      </c>
      <c r="BF101" s="4">
        <f t="shared" si="25"/>
        <v>71</v>
      </c>
      <c r="BG101" s="4">
        <f t="shared" si="25"/>
        <v>33</v>
      </c>
      <c r="BH101" s="4">
        <f t="shared" si="25"/>
        <v>57</v>
      </c>
      <c r="BI101" s="4">
        <f t="shared" si="25"/>
        <v>33</v>
      </c>
      <c r="BJ101" s="4">
        <f t="shared" si="25"/>
        <v>64</v>
      </c>
      <c r="BK101" s="4">
        <f t="shared" si="25"/>
        <v>47</v>
      </c>
      <c r="BL101" s="4">
        <f t="shared" si="25"/>
        <v>72</v>
      </c>
    </row>
    <row r="102" spans="3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O102" s="4">
        <f t="shared" ref="AO102:BL102" si="26">MIN(C47:C50)</f>
        <v>25</v>
      </c>
      <c r="AP102" s="4">
        <f t="shared" si="26"/>
        <v>60</v>
      </c>
      <c r="AQ102" s="4">
        <f t="shared" si="26"/>
        <v>47</v>
      </c>
      <c r="AR102" s="4">
        <f t="shared" si="26"/>
        <v>51</v>
      </c>
      <c r="AS102" s="4">
        <f t="shared" si="26"/>
        <v>37</v>
      </c>
      <c r="AT102" s="4">
        <f t="shared" si="26"/>
        <v>61</v>
      </c>
      <c r="AU102" s="4">
        <f t="shared" si="26"/>
        <v>0</v>
      </c>
      <c r="AV102" s="4">
        <f t="shared" si="26"/>
        <v>0</v>
      </c>
      <c r="AW102" s="4">
        <f t="shared" si="26"/>
        <v>21</v>
      </c>
      <c r="AX102" s="4">
        <f t="shared" si="26"/>
        <v>54</v>
      </c>
      <c r="AY102" s="4">
        <f t="shared" si="26"/>
        <v>0</v>
      </c>
      <c r="AZ102" s="4">
        <f t="shared" si="26"/>
        <v>0</v>
      </c>
      <c r="BA102" s="4">
        <f t="shared" si="26"/>
        <v>37</v>
      </c>
      <c r="BB102" s="4">
        <f t="shared" si="26"/>
        <v>64</v>
      </c>
      <c r="BC102" s="4">
        <f t="shared" si="26"/>
        <v>50</v>
      </c>
      <c r="BD102" s="4">
        <f t="shared" si="26"/>
        <v>52</v>
      </c>
      <c r="BE102" s="4">
        <f t="shared" si="26"/>
        <v>36</v>
      </c>
      <c r="BF102" s="4">
        <f t="shared" si="26"/>
        <v>61</v>
      </c>
      <c r="BG102" s="4">
        <f t="shared" si="26"/>
        <v>28</v>
      </c>
      <c r="BH102" s="4">
        <f t="shared" si="26"/>
        <v>53</v>
      </c>
      <c r="BI102" s="4">
        <f t="shared" si="26"/>
        <v>27</v>
      </c>
      <c r="BJ102" s="4">
        <f t="shared" si="26"/>
        <v>56</v>
      </c>
      <c r="BK102" s="4">
        <f t="shared" si="26"/>
        <v>46</v>
      </c>
      <c r="BL102" s="4">
        <f t="shared" si="26"/>
        <v>57</v>
      </c>
    </row>
    <row r="103" spans="3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O103" s="4">
        <f t="shared" ref="AO103:BL103" si="27">AO101-AO102</f>
        <v>9</v>
      </c>
      <c r="AP103" s="4">
        <f t="shared" si="27"/>
        <v>0</v>
      </c>
      <c r="AQ103" s="4">
        <f t="shared" si="27"/>
        <v>1</v>
      </c>
      <c r="AR103" s="4">
        <f t="shared" si="27"/>
        <v>2</v>
      </c>
      <c r="AS103" s="4">
        <f t="shared" si="27"/>
        <v>2</v>
      </c>
      <c r="AT103" s="4">
        <f t="shared" si="27"/>
        <v>13</v>
      </c>
      <c r="AU103" s="4">
        <f t="shared" si="27"/>
        <v>0</v>
      </c>
      <c r="AV103" s="4">
        <f t="shared" si="27"/>
        <v>0</v>
      </c>
      <c r="AW103" s="4">
        <f t="shared" si="27"/>
        <v>2</v>
      </c>
      <c r="AX103" s="4">
        <f t="shared" si="27"/>
        <v>2</v>
      </c>
      <c r="AY103" s="4">
        <f t="shared" si="27"/>
        <v>0</v>
      </c>
      <c r="AZ103" s="4">
        <f t="shared" si="27"/>
        <v>0</v>
      </c>
      <c r="BA103" s="4">
        <f t="shared" si="27"/>
        <v>3</v>
      </c>
      <c r="BB103" s="4">
        <f t="shared" si="27"/>
        <v>4</v>
      </c>
      <c r="BC103" s="4">
        <f t="shared" si="27"/>
        <v>0</v>
      </c>
      <c r="BD103" s="4">
        <f t="shared" si="27"/>
        <v>0</v>
      </c>
      <c r="BE103" s="4">
        <f t="shared" si="27"/>
        <v>4</v>
      </c>
      <c r="BF103" s="4">
        <f t="shared" si="27"/>
        <v>10</v>
      </c>
      <c r="BG103" s="4">
        <f t="shared" si="27"/>
        <v>5</v>
      </c>
      <c r="BH103" s="4">
        <f t="shared" si="27"/>
        <v>4</v>
      </c>
      <c r="BI103" s="4">
        <f t="shared" si="27"/>
        <v>6</v>
      </c>
      <c r="BJ103" s="4">
        <f t="shared" si="27"/>
        <v>8</v>
      </c>
      <c r="BK103" s="4">
        <f t="shared" si="27"/>
        <v>1</v>
      </c>
      <c r="BL103" s="4">
        <f t="shared" si="27"/>
        <v>15</v>
      </c>
    </row>
    <row r="104" spans="3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N104" s="38" t="s">
        <v>28</v>
      </c>
      <c r="AO104" s="4">
        <f t="shared" ref="AO104:BL104" si="28">MAX(C51)</f>
        <v>34</v>
      </c>
      <c r="AP104" s="4">
        <f t="shared" si="28"/>
        <v>60</v>
      </c>
      <c r="AQ104" s="4">
        <f t="shared" si="28"/>
        <v>47</v>
      </c>
      <c r="AR104" s="4">
        <f t="shared" si="28"/>
        <v>53</v>
      </c>
      <c r="AS104" s="4">
        <f t="shared" si="28"/>
        <v>39</v>
      </c>
      <c r="AT104" s="4">
        <f t="shared" si="28"/>
        <v>61</v>
      </c>
      <c r="AU104" s="4">
        <f t="shared" si="28"/>
        <v>0</v>
      </c>
      <c r="AV104" s="4">
        <f t="shared" si="28"/>
        <v>0</v>
      </c>
      <c r="AW104" s="4">
        <f t="shared" si="28"/>
        <v>22</v>
      </c>
      <c r="AX104" s="4">
        <f t="shared" si="28"/>
        <v>54</v>
      </c>
      <c r="AY104" s="4">
        <f t="shared" si="28"/>
        <v>0</v>
      </c>
      <c r="AZ104" s="4">
        <f t="shared" si="28"/>
        <v>0</v>
      </c>
      <c r="BA104" s="4">
        <f t="shared" si="28"/>
        <v>38</v>
      </c>
      <c r="BB104" s="4">
        <f t="shared" si="28"/>
        <v>64</v>
      </c>
      <c r="BC104" s="4">
        <f t="shared" si="28"/>
        <v>50</v>
      </c>
      <c r="BD104" s="4">
        <f t="shared" si="28"/>
        <v>52</v>
      </c>
      <c r="BE104" s="4">
        <f t="shared" si="28"/>
        <v>36</v>
      </c>
      <c r="BF104" s="4">
        <f t="shared" si="28"/>
        <v>61</v>
      </c>
      <c r="BG104" s="4">
        <f t="shared" si="28"/>
        <v>33</v>
      </c>
      <c r="BH104" s="4">
        <f t="shared" si="28"/>
        <v>57</v>
      </c>
      <c r="BI104" s="4">
        <f t="shared" si="28"/>
        <v>33</v>
      </c>
      <c r="BJ104" s="4">
        <f t="shared" si="28"/>
        <v>64</v>
      </c>
      <c r="BK104" s="4">
        <f t="shared" si="28"/>
        <v>46</v>
      </c>
      <c r="BL104" s="4">
        <f t="shared" si="28"/>
        <v>57</v>
      </c>
    </row>
    <row r="105" spans="3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O105" s="4">
        <f t="shared" ref="AO105:BL105" si="29">MIN(C51)</f>
        <v>34</v>
      </c>
      <c r="AP105" s="4">
        <f t="shared" si="29"/>
        <v>60</v>
      </c>
      <c r="AQ105" s="4">
        <f t="shared" si="29"/>
        <v>47</v>
      </c>
      <c r="AR105" s="4">
        <f t="shared" si="29"/>
        <v>53</v>
      </c>
      <c r="AS105" s="4">
        <f t="shared" si="29"/>
        <v>39</v>
      </c>
      <c r="AT105" s="4">
        <f t="shared" si="29"/>
        <v>61</v>
      </c>
      <c r="AU105" s="4">
        <f t="shared" si="29"/>
        <v>0</v>
      </c>
      <c r="AV105" s="4">
        <f t="shared" si="29"/>
        <v>0</v>
      </c>
      <c r="AW105" s="4">
        <f t="shared" si="29"/>
        <v>22</v>
      </c>
      <c r="AX105" s="4">
        <f t="shared" si="29"/>
        <v>54</v>
      </c>
      <c r="AY105" s="4">
        <f t="shared" si="29"/>
        <v>0</v>
      </c>
      <c r="AZ105" s="4">
        <f t="shared" si="29"/>
        <v>0</v>
      </c>
      <c r="BA105" s="4">
        <f t="shared" si="29"/>
        <v>38</v>
      </c>
      <c r="BB105" s="4">
        <f t="shared" si="29"/>
        <v>64</v>
      </c>
      <c r="BC105" s="4">
        <f t="shared" si="29"/>
        <v>50</v>
      </c>
      <c r="BD105" s="4">
        <f t="shared" si="29"/>
        <v>52</v>
      </c>
      <c r="BE105" s="4">
        <f t="shared" si="29"/>
        <v>36</v>
      </c>
      <c r="BF105" s="4">
        <f t="shared" si="29"/>
        <v>61</v>
      </c>
      <c r="BG105" s="4">
        <f t="shared" si="29"/>
        <v>33</v>
      </c>
      <c r="BH105" s="4">
        <f t="shared" si="29"/>
        <v>57</v>
      </c>
      <c r="BI105" s="4">
        <f t="shared" si="29"/>
        <v>33</v>
      </c>
      <c r="BJ105" s="4">
        <f t="shared" si="29"/>
        <v>64</v>
      </c>
      <c r="BK105" s="4">
        <f t="shared" si="29"/>
        <v>46</v>
      </c>
      <c r="BL105" s="4">
        <f t="shared" si="29"/>
        <v>57</v>
      </c>
    </row>
    <row r="106" spans="3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O106" s="4">
        <f t="shared" ref="AO106:BL106" si="30">AO104-AO105</f>
        <v>0</v>
      </c>
      <c r="AP106" s="4">
        <f t="shared" si="30"/>
        <v>0</v>
      </c>
      <c r="AQ106" s="4">
        <f t="shared" si="30"/>
        <v>0</v>
      </c>
      <c r="AR106" s="4">
        <f t="shared" si="30"/>
        <v>0</v>
      </c>
      <c r="AS106" s="4">
        <f t="shared" si="30"/>
        <v>0</v>
      </c>
      <c r="AT106" s="4">
        <f t="shared" si="30"/>
        <v>0</v>
      </c>
      <c r="AU106" s="4">
        <f t="shared" si="30"/>
        <v>0</v>
      </c>
      <c r="AV106" s="4">
        <f t="shared" si="30"/>
        <v>0</v>
      </c>
      <c r="AW106" s="4">
        <f t="shared" si="30"/>
        <v>0</v>
      </c>
      <c r="AX106" s="4">
        <f t="shared" si="30"/>
        <v>0</v>
      </c>
      <c r="AY106" s="4">
        <f t="shared" si="30"/>
        <v>0</v>
      </c>
      <c r="AZ106" s="4">
        <f t="shared" si="30"/>
        <v>0</v>
      </c>
      <c r="BA106" s="4">
        <f t="shared" si="30"/>
        <v>0</v>
      </c>
      <c r="BB106" s="4">
        <f t="shared" si="30"/>
        <v>0</v>
      </c>
      <c r="BC106" s="4">
        <f t="shared" si="30"/>
        <v>0</v>
      </c>
      <c r="BD106" s="4">
        <f t="shared" si="30"/>
        <v>0</v>
      </c>
      <c r="BE106" s="4">
        <f t="shared" si="30"/>
        <v>0</v>
      </c>
      <c r="BF106" s="4">
        <f t="shared" si="30"/>
        <v>0</v>
      </c>
      <c r="BG106" s="4">
        <f t="shared" si="30"/>
        <v>0</v>
      </c>
      <c r="BH106" s="4">
        <f t="shared" si="30"/>
        <v>0</v>
      </c>
      <c r="BI106" s="4">
        <f t="shared" si="30"/>
        <v>0</v>
      </c>
      <c r="BJ106" s="4">
        <f t="shared" si="30"/>
        <v>0</v>
      </c>
      <c r="BK106" s="4">
        <f t="shared" si="30"/>
        <v>0</v>
      </c>
      <c r="BL106" s="4">
        <f t="shared" si="30"/>
        <v>0</v>
      </c>
    </row>
    <row r="107" spans="3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O107" s="4">
        <f t="shared" ref="AO107:BL107" si="31">AO97+AO100+AO103+AO106</f>
        <v>31</v>
      </c>
      <c r="AP107" s="4">
        <f t="shared" si="31"/>
        <v>4</v>
      </c>
      <c r="AQ107" s="4">
        <f t="shared" si="31"/>
        <v>1</v>
      </c>
      <c r="AR107" s="4">
        <f t="shared" si="31"/>
        <v>3</v>
      </c>
      <c r="AS107" s="4">
        <f t="shared" si="31"/>
        <v>6</v>
      </c>
      <c r="AT107" s="4">
        <f t="shared" si="31"/>
        <v>22</v>
      </c>
      <c r="AU107" s="4">
        <f t="shared" si="31"/>
        <v>5</v>
      </c>
      <c r="AV107" s="4">
        <f t="shared" si="31"/>
        <v>1</v>
      </c>
      <c r="AW107" s="4">
        <f t="shared" si="31"/>
        <v>7</v>
      </c>
      <c r="AX107" s="4">
        <f t="shared" si="31"/>
        <v>3</v>
      </c>
      <c r="AY107" s="4">
        <f t="shared" si="31"/>
        <v>0</v>
      </c>
      <c r="AZ107" s="4">
        <f t="shared" si="31"/>
        <v>6</v>
      </c>
      <c r="BA107" s="4">
        <f t="shared" si="31"/>
        <v>9</v>
      </c>
      <c r="BB107" s="4">
        <f t="shared" si="31"/>
        <v>17</v>
      </c>
      <c r="BC107" s="4">
        <f t="shared" si="31"/>
        <v>0</v>
      </c>
      <c r="BD107" s="4">
        <f t="shared" si="31"/>
        <v>0</v>
      </c>
      <c r="BE107" s="4">
        <f t="shared" si="31"/>
        <v>21</v>
      </c>
      <c r="BF107" s="4">
        <f t="shared" si="31"/>
        <v>23</v>
      </c>
      <c r="BG107" s="4">
        <f t="shared" si="31"/>
        <v>22</v>
      </c>
      <c r="BH107" s="4">
        <f t="shared" si="31"/>
        <v>21</v>
      </c>
      <c r="BI107" s="4">
        <f t="shared" si="31"/>
        <v>17</v>
      </c>
      <c r="BJ107" s="4">
        <f t="shared" si="31"/>
        <v>9</v>
      </c>
      <c r="BK107" s="4">
        <f t="shared" si="31"/>
        <v>1</v>
      </c>
      <c r="BL107" s="4">
        <f t="shared" si="31"/>
        <v>38</v>
      </c>
    </row>
    <row r="108" spans="3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3:26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3:26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3:26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3:26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3:26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F26" sqref="F2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8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1167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1">
        <f>VLOOKUP($D8,'SegEnds_NonXtal_Prot#'!$A:$AZ,31,FALSE)-VLOOKUP($D8,'SegEnds_NonXtal_Prot#'!$A:$AZ,28,FALSE)</f>
        <v>43</v>
      </c>
      <c r="G8" s="132">
        <f>50+VLOOKUP($A8,'SegEnds_Xtal_Prot#'!$A:$AY,39,FALSE)-VLOOKUP($D8,'SegEnds_NonXtal_Prot#'!$A:$AZ,28,FALSE)</f>
        <v>68</v>
      </c>
      <c r="H8" s="13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919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1287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1168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1298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911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1287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1169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915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1287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1325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1294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1295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1287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909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1291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1287</v>
      </c>
      <c r="L31" s="1"/>
      <c r="N31" t="s">
        <v>1297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1287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905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917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1327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1171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1290</v>
      </c>
      <c r="N41" s="1" t="s">
        <v>1296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1170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1290</v>
      </c>
      <c r="N42" s="1" t="s">
        <v>1296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907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1287</v>
      </c>
      <c r="L43" s="1"/>
      <c r="M43" s="1"/>
      <c r="N43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3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zoomScale="113" zoomScaleNormal="113" zoomScalePageLayoutView="113" workbookViewId="0">
      <pane ySplit="1" topLeftCell="A2" activePane="bottomLeft" state="frozenSplit"/>
      <selection pane="bottomLeft" activeCell="F14" sqref="F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5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1404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1416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  <row r="10" spans="1:15" x14ac:dyDescent="0.2">
      <c r="A10" s="3" t="str">
        <f>D10&amp;"__wt"</f>
        <v>sctr_human__wt</v>
      </c>
      <c r="B10" s="3" t="str">
        <f>VLOOKUP(D10,Classification!A:D,3,FALSE)</f>
        <v>Peptide</v>
      </c>
      <c r="C10" s="3" t="str">
        <f>VLOOKUP(D10,Classification!A:D,4,FALSE)</f>
        <v>Glucagonreceptorfamily</v>
      </c>
      <c r="D10" s="3" t="s">
        <v>410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52</v>
      </c>
      <c r="G10" s="3">
        <f>50+VLOOKUP($A10,'SegEnds_Xtal_Prot#'!$A:$AY,39,FALSE)-VLOOKUP($D10,'SegEnds_NonXtal_Prot#'!$A:$AZ,28,FALSE)</f>
        <v>71</v>
      </c>
      <c r="H10" s="3">
        <f>50+VLOOKUP($A10,'SegEnds_Xtal_Prot#'!$A:$AY,41,FALSE)-VLOOKUP($D10,'SegEnds_NonXtal_Prot#'!$A:$AZ,31,FALSE)</f>
        <v>25</v>
      </c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10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4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54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23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1590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54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23</v>
      </c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:B7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7"/>
  <sheetViews>
    <sheetView zoomScale="135" zoomScaleNormal="135" zoomScalePageLayoutView="135" workbookViewId="0">
      <pane ySplit="1" topLeftCell="A347" activePane="bottomLeft" state="frozenSplit"/>
      <selection pane="bottomLeft" activeCell="K355" sqref="K355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1202</v>
      </c>
      <c r="C1" s="26" t="s">
        <v>1056</v>
      </c>
      <c r="D1" s="8" t="s">
        <v>1057</v>
      </c>
      <c r="E1" s="8" t="s">
        <v>1073</v>
      </c>
      <c r="F1" s="8" t="s">
        <v>1074</v>
      </c>
      <c r="G1" s="8" t="s">
        <v>1058</v>
      </c>
      <c r="H1" s="99" t="s">
        <v>1059</v>
      </c>
      <c r="I1" s="8" t="s">
        <v>1075</v>
      </c>
      <c r="J1" s="8" t="s">
        <v>1076</v>
      </c>
      <c r="K1" s="99" t="s">
        <v>1060</v>
      </c>
      <c r="L1" s="8" t="s">
        <v>1061</v>
      </c>
      <c r="M1" s="8" t="s">
        <v>1088</v>
      </c>
      <c r="N1" s="99" t="s">
        <v>1089</v>
      </c>
      <c r="O1" s="86" t="s">
        <v>1062</v>
      </c>
      <c r="P1" s="8" t="s">
        <v>1063</v>
      </c>
      <c r="Q1" s="8" t="s">
        <v>1091</v>
      </c>
      <c r="R1" s="8" t="s">
        <v>1092</v>
      </c>
      <c r="S1" s="8" t="s">
        <v>1064</v>
      </c>
      <c r="T1" s="8" t="s">
        <v>1065</v>
      </c>
      <c r="U1" s="8" t="s">
        <v>1066</v>
      </c>
      <c r="V1" s="8" t="s">
        <v>1067</v>
      </c>
      <c r="W1" s="8" t="s">
        <v>1068</v>
      </c>
      <c r="X1" s="8" t="s">
        <v>1069</v>
      </c>
      <c r="Y1" s="8" t="s">
        <v>1070</v>
      </c>
      <c r="Z1" s="8" t="s">
        <v>1071</v>
      </c>
      <c r="AA1" s="26" t="s">
        <v>99</v>
      </c>
      <c r="AB1" s="30" t="s">
        <v>1236</v>
      </c>
      <c r="AC1" s="30" t="s">
        <v>1282</v>
      </c>
      <c r="AD1" s="30" t="s">
        <v>1278</v>
      </c>
      <c r="AE1" s="30" t="s">
        <v>1237</v>
      </c>
      <c r="AF1" s="30" t="s">
        <v>1271</v>
      </c>
      <c r="AG1" s="26" t="s">
        <v>1275</v>
      </c>
      <c r="AH1" s="30" t="s">
        <v>1387</v>
      </c>
      <c r="AI1" s="30" t="s">
        <v>1238</v>
      </c>
      <c r="AJ1" s="30" t="s">
        <v>1235</v>
      </c>
      <c r="AK1" s="30" t="s">
        <v>1476</v>
      </c>
      <c r="AL1" s="30" t="s">
        <v>1222</v>
      </c>
    </row>
    <row r="2" spans="1:38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INDEX(ICL3_classA!$G$2:$G$39,MATCH(MIN(ABS(AI2-ICL3_classA!$F$2:$F$39)),ABS(AI2-ICL3_classA!$F$2:$F$39),0))</f>
        <v>67</v>
      </c>
      <c r="U2" s="1">
        <f t="array" ref="U2">INDEX(ICL3_classA!$H$2:$H$39,MATCH(MIN(ABS(AI2-ICL3_classA!$F$2:$F$39)),ABS(AI2-ICL3_classA!$F$2:$F$39),0))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303</v>
      </c>
      <c r="B3" s="1" t="str">
        <f>VLOOKUP(A3,Xtal_Templ!A:B,2,FALSE)</f>
        <v>agtr1_human</v>
      </c>
      <c r="C3" s="5">
        <f>VLOOKUP($B3&amp;"__wt",'SegEnds_Xtal_BW#'!$A:$Z,3,FALSE)</f>
        <v>28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INDEX(ICL3_classA!$G$2:$G$39,MATCH(MIN(ABS(AI3-ICL3_classA!$F$2:$F$39)),ABS(AI3-ICL3_classA!$F$2:$F$39),0))</f>
        <v>67</v>
      </c>
      <c r="U3" s="1">
        <f t="array" ref="U3">INDEX(ICL3_classA!$H$2:$H$39,MATCH(MIN(ABS(AI3-ICL3_classA!$F$2:$F$39)),ABS(AI3-ICL3_classA!$F$2:$F$39),0))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VLOOKUP(A4,Xtal_Templ!A:B,2,FALSE)</f>
        <v>fpr2_human</v>
      </c>
      <c r="C4" s="5">
        <f>VLOOKUP($B4&amp;"__wt",'SegEnds_Xtal_BW#'!$A:$Z,3,FALSE)</f>
        <v>25</v>
      </c>
      <c r="D4" s="1">
        <f>VLOOKUP($B4&amp;"__wt",'SegEnds_Xtal_BW#'!$A:$Z,4,FALSE)</f>
        <v>61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08">
        <v>35</v>
      </c>
      <c r="T4" s="1">
        <f t="array" ref="T4">INDEX(ICL3_classA!$G$2:$G$39,MATCH(MIN(ABS(AI4-ICL3_classA!$F$2:$F$39)),ABS(AI4-ICL3_classA!$F$2:$F$39),0))</f>
        <v>64</v>
      </c>
      <c r="U4" s="1">
        <f t="array" ref="U4">INDEX(ICL3_classA!$H$2:$H$39,MATCH(MIN(ABS(AI4-ICL3_classA!$F$2:$F$39)),ABS(AI4-ICL3_classA!$F$2:$F$39),0))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58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237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INDEX(ICL3_classA!$G$2:$G$39,MATCH(MIN(ABS(AI5-ICL3_classA!$F$2:$F$39)),ABS(AI5-ICL3_classA!$F$2:$F$39),0))</f>
        <v>73</v>
      </c>
      <c r="U5" s="4">
        <f t="array" ref="U5">INDEX(ICL3_classA!$H$2:$H$39,MATCH(MIN(ABS(AI5-ICL3_classA!$F$2:$F$39)),ABS(AI5-ICL3_classA!$F$2:$F$39),0))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248</v>
      </c>
      <c r="B6" s="1" t="str">
        <f>VLOOKUP(A6,Xtal_Templ!A:B,2,FALSE)</f>
        <v>mc4r_human</v>
      </c>
      <c r="C6" s="5">
        <f>VLOOKUP($B6&amp;"__wt",'SegEnds_Xtal_BW#'!$A:$Z,3,FALSE)</f>
        <v>35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INDEX(ICL3_classA!$G$2:$G$39,MATCH(MIN(ABS(AI6-ICL3_classA!$F$2:$F$39)),ABS(AI6-ICL3_classA!$F$2:$F$39),0))</f>
        <v>73</v>
      </c>
      <c r="U6" s="1">
        <f t="array" ref="U6">INDEX(ICL3_classA!$H$2:$H$39,MATCH(MIN(ABS(AI6-ICL3_classA!$F$2:$F$39)),ABS(AI6-ICL3_classA!$F$2:$F$39),0))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253</v>
      </c>
      <c r="B7" s="1" t="str">
        <f>VLOOKUP(A7,Xtal_Templ!A:B,2,FALSE)</f>
        <v>ccr6_human</v>
      </c>
      <c r="C7" s="5">
        <f>VLOOKUP($B7&amp;"__wt",'SegEnds_Xtal_BW#'!$A:$Z,3,FALSE)</f>
        <v>25</v>
      </c>
      <c r="D7" s="108"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INDEX(ICL3_classA!$G$2:$G$39,MATCH(MIN(ABS(AI7-ICL3_classA!$F$2:$F$39)),ABS(AI7-ICL3_classA!$F$2:$F$39),0))</f>
        <v>68</v>
      </c>
      <c r="U7" s="1">
        <f t="array" ref="U7">INDEX(ICL3_classA!$H$2:$H$39,MATCH(MIN(ABS(AI7-ICL3_classA!$F$2:$F$39)),ABS(AI7-ICL3_classA!$F$2:$F$39),0))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62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261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INDEX(ICL3_classA!$G$2:$G$39,MATCH(MIN(ABS(AI8-ICL3_classA!$F$2:$F$39)),ABS(AI8-ICL3_classA!$F$2:$F$39),0))</f>
        <v>73</v>
      </c>
      <c r="U8" s="1">
        <f t="array" ref="U8">INDEX(ICL3_classA!$H$2:$H$39,MATCH(MIN(ABS(AI8-ICL3_classA!$F$2:$F$39)),ABS(AI8-ICL3_classA!$F$2:$F$39),0))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304</v>
      </c>
      <c r="B9" s="1" t="str">
        <f>VLOOKUP(A9,Xtal_Templ!A:B,2,FALSE)</f>
        <v>agtr1_human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INDEX(ICL3_classA!$G$2:$G$39,MATCH(MIN(ABS(AI9-ICL3_classA!$F$2:$F$39)),ABS(AI9-ICL3_classA!$F$2:$F$39),0))</f>
        <v>68</v>
      </c>
      <c r="U9" s="1">
        <f t="array" ref="U9">INDEX(ICL3_classA!$H$2:$H$39,MATCH(MIN(ABS(AI9-ICL3_classA!$F$2:$F$39)),ABS(AI9-ICL3_classA!$F$2:$F$39),0))</f>
        <v>30</v>
      </c>
      <c r="V9" s="1">
        <v>61</v>
      </c>
      <c r="W9" s="108">
        <v>25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306</v>
      </c>
      <c r="B10" s="1" t="str">
        <f>VLOOKUP(A10,Xtal_Templ!A:B,2,FALSE)</f>
        <v>pd2r2_human</v>
      </c>
      <c r="C10" s="5">
        <f>VLOOKUP($B10&amp;"__wt",'SegEnds_Xtal_BW#'!$A:$Z,3,FALSE)</f>
        <v>32</v>
      </c>
      <c r="D10" s="1">
        <f>VLOOKUP($B10&amp;"__wt",'SegEnds_Xtal_BW#'!$A:$Z,4,FALSE)</f>
        <v>60</v>
      </c>
      <c r="E10" s="1" t="str">
        <f>VLOOKUP($B10&amp;"__wt",'SegEnds_Xtal_BW#'!$A:$Z,5,FALSE)</f>
        <v>-</v>
      </c>
      <c r="F10" s="1" t="str">
        <f>VLOOKUP($B10&amp;"__wt",'SegEnds_Xtal_BW#'!$A:$Z,6,FALSE)</f>
        <v>-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26</v>
      </c>
      <c r="T10" s="1">
        <f t="array" ref="T10">INDEX(ICL3_classA!$G$2:$G$39,MATCH(MIN(ABS(AI10-ICL3_classA!$F$2:$F$39)),ABS(AI10-ICL3_classA!$F$2:$F$39),0))</f>
        <v>68</v>
      </c>
      <c r="U10" s="1">
        <f t="array" ref="U10">INDEX(ICL3_classA!$H$2:$H$39,MATCH(MIN(ABS(AI10-ICL3_classA!$F$2:$F$39)),ABS(AI10-ICL3_classA!$F$2:$F$39),0))</f>
        <v>30</v>
      </c>
      <c r="V10" s="1">
        <v>61</v>
      </c>
      <c r="W10" s="128">
        <f>VLOOKUP($B10&amp;"__wt",'SegEnds_Xtal_BW#'!$A:$Z,23,FALSE)</f>
        <v>27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64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307</v>
      </c>
      <c r="B11" s="1" t="str">
        <f>VLOOKUP(A11,Xtal_Templ!A:B,2,FALSE)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INDEX(ICL3_classA!$G$2:$G$39,MATCH(MIN(ABS(AI11-ICL3_classA!$F$2:$F$39)),ABS(AI11-ICL3_classA!$F$2:$F$39),0))</f>
        <v>68</v>
      </c>
      <c r="U11" s="1">
        <f t="array" ref="U11">INDEX(ICL3_classA!$H$2:$H$39,MATCH(MIN(ABS(AI11-ICL3_classA!$F$2:$F$39)),ABS(AI11-ICL3_classA!$F$2:$F$39),0))</f>
        <v>30</v>
      </c>
      <c r="V11" s="1">
        <v>61</v>
      </c>
      <c r="W11" s="128">
        <f>VLOOKUP($B11&amp;"__wt",'SegEnds_Xtal_BW#'!$A:$Z,23,FALSE)</f>
        <v>31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218</v>
      </c>
      <c r="B12" s="1" t="str">
        <f>VLOOKUP(A12,Xtal_Templ!A:B,2,FALSE)</f>
        <v>ccr6_human</v>
      </c>
      <c r="C12" s="5">
        <f>VLOOKUP($B12&amp;"__wt",'SegEnds_Xtal_BW#'!$A:$Z,3,FALSE)</f>
        <v>25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INDEX(ICL3_classA!$G$2:$G$39,MATCH(MIN(ABS(AI12-ICL3_classA!$F$2:$F$39)),ABS(AI12-ICL3_classA!$F$2:$F$39),0))</f>
        <v>68</v>
      </c>
      <c r="U12" s="1">
        <f t="array" ref="U12">INDEX(ICL3_classA!$H$2:$H$39,MATCH(MIN(ABS(AI12-ICL3_classA!$F$2:$F$39)),ABS(AI12-ICL3_classA!$F$2:$F$39),0))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62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234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INDEX(ICL3_classA!$G$2:$G$39,MATCH(MIN(ABS(AI13-ICL3_classA!$F$2:$F$39)),ABS(AI13-ICL3_classA!$F$2:$F$39),0))</f>
        <v>74</v>
      </c>
      <c r="U13" s="4">
        <f t="array" ref="U13">INDEX(ICL3_classA!$H$2:$H$39,MATCH(MIN(ABS(AI13-ICL3_classA!$F$2:$F$39)),ABS(AI13-ICL3_classA!$F$2:$F$39),0))</f>
        <v>21</v>
      </c>
      <c r="V13" s="4">
        <v>61</v>
      </c>
      <c r="W13" s="128">
        <f>VLOOKUP($B13&amp;"__wt",'SegEnds_Xtal_BW#'!$A:$Z,23,FALSE)</f>
        <v>30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242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24</v>
      </c>
      <c r="V14" s="1">
        <v>61</v>
      </c>
      <c r="W14" s="128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260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73</v>
      </c>
      <c r="U16" s="1">
        <f t="array" ref="U16">INDEX(ICL3_classA!$H$2:$H$39,MATCH(MIN(ABS(AI16-ICL3_classA!$F$2:$F$39)),ABS(AI16-ICL3_classA!$F$2:$F$39),0))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74</v>
      </c>
      <c r="U17" s="1">
        <f t="array" ref="U17">INDEX(ICL3_classA!$H$2:$H$39,MATCH(MIN(ABS(AI17-ICL3_classA!$F$2:$F$39)),ABS(AI17-ICL3_classA!$F$2:$F$39),0))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INDEX(ICL3_classA!$G$2:$G$39,MATCH(MIN(ABS(AI18-ICL3_classA!$F$2:$F$39)),ABS(AI18-ICL3_classA!$F$2:$F$39),0))</f>
        <v>73</v>
      </c>
      <c r="U18" s="1">
        <f t="array" ref="U18">INDEX(ICL3_classA!$H$2:$H$39,MATCH(MIN(ABS(AI18-ICL3_classA!$F$2:$F$39)),ABS(AI18-ICL3_classA!$F$2:$F$39),0))</f>
        <v>22</v>
      </c>
      <c r="V18" s="1">
        <v>61</v>
      </c>
      <c r="W18" s="128">
        <f>VLOOKUP($B18&amp;"__wt",'SegEnds_Xtal_BW#'!$A:$Z,23,FALSE)</f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INDEX(ICL3_classA!$G$2:$G$39,MATCH(MIN(ABS(AI19-ICL3_classA!$F$2:$F$39)),ABS(AI19-ICL3_classA!$F$2:$F$39),0))</f>
        <v>73</v>
      </c>
      <c r="U19" s="1">
        <f t="array" ref="U19">INDEX(ICL3_classA!$H$2:$H$39,MATCH(MIN(ABS(AI19-ICL3_classA!$F$2:$F$39)),ABS(AI19-ICL3_classA!$F$2:$F$39),0))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VLOOKUP(A20,Xtal_Templ!A:B,2,FALSE)</f>
        <v>ccr2_human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INDEX(ICL3_classA!$G$2:$G$39,MATCH(MIN(ABS(AI21-ICL3_classA!$F$2:$F$39)),ABS(AI21-ICL3_classA!$F$2:$F$39),0))</f>
        <v>68</v>
      </c>
      <c r="U21" s="1">
        <f t="array" ref="U21">INDEX(ICL3_classA!$H$2:$H$39,MATCH(MIN(ABS(AI21-ICL3_classA!$F$2:$F$39)),ABS(AI21-ICL3_classA!$F$2:$F$39),0))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VLOOKUP(A22,Xtal_Templ!A:B,2,FALSE)</f>
        <v>ccr7_human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58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INDEX(ICL3_classA!$G$2:$G$39,MATCH(MIN(ABS(AI23-ICL3_classA!$F$2:$F$39)),ABS(AI23-ICL3_classA!$F$2:$F$39),0))</f>
        <v>68</v>
      </c>
      <c r="U23" s="1">
        <f t="array" ref="U23">INDEX(ICL3_classA!$H$2:$H$39,MATCH(MIN(ABS(AI23-ICL3_classA!$F$2:$F$39)),ABS(AI23-ICL3_classA!$F$2:$F$39),0))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VLOOKUP(A26,Xtal_Templ!A:B,2,FALSE)</f>
        <v>ccr7_human</v>
      </c>
      <c r="C26" s="13">
        <f>VLOOKUP($B26&amp;"__wt",'SegEnds_Xtal_BW#'!$A:$Z,3,FALSE)</f>
        <v>29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f>VLOOKUP($B26&amp;"__wt",'SegEnds_Xtal_BW#'!$A:$Z,14,FALSE)</f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INDEX(ICL3_classA!$G$2:$G$39,MATCH(MIN(ABS(AI26-ICL3_classA!$F$2:$F$39)),ABS(AI26-ICL3_classA!$F$2:$F$39),0))</f>
        <v>68</v>
      </c>
      <c r="U26" s="12">
        <f t="array" ref="U26">INDEX(ICL3_classA!$H$2:$H$39,MATCH(MIN(ABS(AI26-ICL3_classA!$F$2:$F$39)),ABS(AI26-ICL3_classA!$F$2:$F$39),0))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59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Xtal</v>
      </c>
    </row>
    <row r="27" spans="1:38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INDEX(ICL3_classA!$G$2:$G$39,MATCH(MIN(ABS(AI27-ICL3_classA!$F$2:$F$39)),ABS(AI27-ICL3_classA!$F$2:$F$39),0))</f>
        <v>68</v>
      </c>
      <c r="U27" s="1">
        <f t="array" ref="U27">INDEX(ICL3_classA!$H$2:$H$39,MATCH(MIN(ABS(AI27-ICL3_classA!$F$2:$F$39)),ABS(AI27-ICL3_classA!$F$2:$F$39),0))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INDEX(ICL3_classA!$G$2:$G$39,MATCH(MIN(ABS(AI28-ICL3_classA!$F$2:$F$39)),ABS(AI28-ICL3_classA!$F$2:$F$39),0))</f>
        <v>68</v>
      </c>
      <c r="U28" s="12">
        <f t="array" ref="U28">INDEX(ICL3_classA!$H$2:$H$39,MATCH(MIN(ABS(AI28-ICL3_classA!$F$2:$F$39)),ABS(AI28-ICL3_classA!$F$2:$F$39),0))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VLOOKUP(A29,Xtal_Templ!A:B,2,FALSE)</f>
        <v>ccr2_human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INDEX(ICL3_classA!$G$2:$G$39,MATCH(MIN(ABS(AI29-ICL3_classA!$F$2:$F$39)),ABS(AI29-ICL3_classA!$F$2:$F$39),0))</f>
        <v>68</v>
      </c>
      <c r="U29" s="1">
        <f t="array" ref="U29">INDEX(ICL3_classA!$H$2:$H$39,MATCH(MIN(ABS(AI29-ICL3_classA!$F$2:$F$39)),ABS(AI29-ICL3_classA!$F$2:$F$39),0))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ccr6_human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INDEX(ICL3_classA!$G$2:$G$39,MATCH(MIN(ABS(AI30-ICL3_classA!$F$2:$F$39)),ABS(AI30-ICL3_classA!$F$2:$F$39),0))</f>
        <v>68</v>
      </c>
      <c r="U30" s="1">
        <f t="array" ref="U30">INDEX(ICL3_classA!$H$2:$H$39,MATCH(MIN(ABS(AI30-ICL3_classA!$F$2:$F$39)),ABS(AI30-ICL3_classA!$F$2:$F$39),0))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62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VLOOKUP(A31,Xtal_Templ!A:B,2,FALSE)</f>
        <v>ccr7_human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ccr7_human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33</v>
      </c>
      <c r="T32" s="1">
        <f t="array" ref="T32">INDEX(ICL3_classA!$G$2:$G$39,MATCH(MIN(ABS(AI32-ICL3_classA!$F$2:$F$39)),ABS(AI32-ICL3_classA!$F$2:$F$39),0))</f>
        <v>68</v>
      </c>
      <c r="U32" s="1">
        <f t="array" ref="U32">INDEX(ICL3_classA!$H$2:$H$39,MATCH(MIN(ABS(AI32-ICL3_classA!$F$2:$F$39)),ABS(AI32-ICL3_classA!$F$2:$F$39),0))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1167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INDEX(ICL3_classA!$G$2:$G$39,MATCH(MIN(ABS(AI33-ICL3_classA!$F$2:$F$39)),ABS(AI33-ICL3_classA!$F$2:$F$39),0))</f>
        <v>68</v>
      </c>
      <c r="U33" s="1">
        <f t="array" ref="U33">INDEX(ICL3_classA!$H$2:$H$39,MATCH(MIN(ABS(AI33-ICL3_classA!$F$2:$F$39)),ABS(AI33-ICL3_classA!$F$2:$F$39),0))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VLOOKUP(A34,Xtal_Templ!A:B,2,FALSE)</f>
        <v>ccr7_human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INDEX(ICL3_classA!$G$2:$G$39,MATCH(MIN(ABS(AI34-ICL3_classA!$F$2:$F$39)),ABS(AI34-ICL3_classA!$F$2:$F$39),0))</f>
        <v>68</v>
      </c>
      <c r="U34" s="1">
        <f t="array" ref="U34">INDEX(ICL3_classA!$H$2:$H$39,MATCH(MIN(ABS(AI34-ICL3_classA!$F$2:$F$39)),ABS(AI34-ICL3_classA!$F$2:$F$39),0))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08">
        <v>56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INDEX(ICL3_classA!$G$2:$G$39,MATCH(MIN(ABS(AI35-ICL3_classA!$F$2:$F$39)),ABS(AI35-ICL3_classA!$F$2:$F$39),0))</f>
        <v>68</v>
      </c>
      <c r="U35" s="12">
        <f t="array" ref="U35">INDEX(ICL3_classA!$H$2:$H$39,MATCH(MIN(ABS(AI35-ICL3_classA!$F$2:$F$39)),ABS(AI35-ICL3_classA!$F$2:$F$39),0))</f>
        <v>30</v>
      </c>
      <c r="V35" s="12">
        <v>61</v>
      </c>
      <c r="W35" s="128">
        <f>VLOOKUP($B35&amp;"__wt",'SegEnds_Xtal_BW#'!$A:$Z,23,FALSE)</f>
        <v>24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219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15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235</v>
      </c>
      <c r="B37" s="1" t="str">
        <f>VLOOKUP(A37,Xtal_Templ!A:B,2,FALSE)</f>
        <v>cltr2_human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INDEX(ICL3_classA!$G$2:$G$39,MATCH(MIN(ABS(AI37-ICL3_classA!$F$2:$F$39)),ABS(AI37-ICL3_classA!$F$2:$F$39),0))</f>
        <v>68</v>
      </c>
      <c r="U37" s="1">
        <f t="array" ref="U37">INDEX(ICL3_classA!$H$2:$H$39,MATCH(MIN(ABS(AI37-ICL3_classA!$F$2:$F$39)),ABS(AI37-ICL3_classA!$F$2:$F$39),0))</f>
        <v>24</v>
      </c>
      <c r="V37" s="1">
        <v>64</v>
      </c>
      <c r="W37" s="1">
        <v>24</v>
      </c>
      <c r="X37" s="123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1503</v>
      </c>
      <c r="B38" s="1" t="str">
        <f>VLOOKUP(A38,Xtal_Templ!A:B,2,FALSE)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INDEX(ICL3_classA!$G$2:$G$39,MATCH(MIN(ABS(AI38-ICL3_classA!$F$2:$F$39)),ABS(AI38-ICL3_classA!$F$2:$F$39),0))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919</v>
      </c>
      <c r="B39" s="1" t="str">
        <f>VLOOKUP(A39,Xtal_Templ!A:B,2,FALSE)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INDEX(ICL3_classA!$G$2:$G$39,MATCH(MIN(ABS(AI39-ICL3_classA!$F$2:$F$39)),ABS(AI39-ICL3_classA!$F$2:$F$39),0))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399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INDEX(ICL3_classA!$G$2:$G$39,MATCH(MIN(ABS(AI40-ICL3_classA!$F$2:$F$39)),ABS(AI40-ICL3_classA!$F$2:$F$39),0))</f>
        <v>68</v>
      </c>
      <c r="U40" s="1">
        <f t="array" ref="U40">INDEX(ICL3_classA!$H$2:$H$39,MATCH(MIN(ABS(AI40-ICL3_classA!$F$2:$F$39)),ABS(AI40-ICL3_classA!$F$2:$F$39),0))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08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INDEX(ICL3_classA!$G$2:$G$39,MATCH(MIN(ABS(AI41-ICL3_classA!$F$2:$F$39)),ABS(AI41-ICL3_classA!$F$2:$F$39),0))</f>
        <v>68</v>
      </c>
      <c r="U41" s="1">
        <f t="array" ref="U41">INDEX(ICL3_classA!$H$2:$H$39,MATCH(MIN(ABS(AI41-ICL3_classA!$F$2:$F$39)),ABS(AI41-ICL3_classA!$F$2:$F$39),0))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VLOOKUP(A42,Xtal_Templ!A:B,2,FALSE)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08"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INDEX(ICL3_classA!$G$2:$G$39,MATCH(MIN(ABS(AI42-ICL3_classA!$F$2:$F$39)),ABS(AI42-ICL3_classA!$F$2:$F$39),0))</f>
        <v>68</v>
      </c>
      <c r="U42" s="1">
        <f t="array" ref="U42">INDEX(ICL3_classA!$H$2:$H$39,MATCH(MIN(ABS(AI42-ICL3_classA!$F$2:$F$39)),ABS(AI42-ICL3_classA!$F$2:$F$39),0))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VLOOKUP(A43,Xtal_Templ!A:B,2,FALSE)</f>
        <v>ccr6_human</v>
      </c>
      <c r="C43" s="13">
        <f>VLOOKUP($B43&amp;"__wt",'SegEnds_Xtal_BW#'!$A:$Z,3,FALSE)</f>
        <v>25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08">
        <v>67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f>VLOOKUP($B43&amp;"__wt",'SegEnds_Xtal_BW#'!$A:$Z,14,FALSE)</f>
        <v>56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31</v>
      </c>
      <c r="T43" s="12">
        <f t="array" ref="T43">INDEX(ICL3_classA!$G$2:$G$39,MATCH(MIN(ABS(AI43-ICL3_classA!$F$2:$F$39)),ABS(AI43-ICL3_classA!$F$2:$F$39),0))</f>
        <v>68</v>
      </c>
      <c r="U43" s="12">
        <f t="array" ref="U43">INDEX(ICL3_classA!$H$2:$H$39,MATCH(MIN(ABS(AI43-ICL3_classA!$F$2:$F$39)),ABS(AI43-ICL3_classA!$F$2:$F$39),0))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62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Xtal</v>
      </c>
    </row>
    <row r="44" spans="1:38" x14ac:dyDescent="0.2">
      <c r="A44" s="1" t="s">
        <v>182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76</v>
      </c>
      <c r="U44" s="1">
        <f t="array" ref="U44">INDEX(ICL3_classA!$H$2:$H$39,MATCH(MIN(ABS(AI44-ICL3_classA!$F$2:$F$39)),ABS(AI44-ICL3_classA!$F$2:$F$39),0))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VLOOKUP(A45,Xtal_Templ!A:B,2,FALSE)</f>
        <v>cnr2_human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INDEX(ICL3_classA!$G$2:$G$39,MATCH(MIN(ABS(AI45-ICL3_classA!$F$2:$F$39)),ABS(AI45-ICL3_classA!$F$2:$F$39),0))</f>
        <v>74</v>
      </c>
      <c r="U45" s="108">
        <v>28</v>
      </c>
      <c r="V45" s="1">
        <f>VLOOKUP($B45&amp;"__wt",'SegEnds_Xtal_BW#'!$A:$Z,22,FALSE)</f>
        <v>61</v>
      </c>
      <c r="W45" s="1">
        <f>VLOOKUP($B45&amp;"__wt",'SegEnds_Xtal_BW#'!$A:$Z,23,FALSE)</f>
        <v>28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190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INDEX(ICL3_classA!$G$2:$G$39,MATCH(MIN(ABS(AI46-ICL3_classA!$F$2:$F$39)),ABS(AI46-ICL3_classA!$F$2:$F$39),0))</f>
        <v>76</v>
      </c>
      <c r="U46" s="1">
        <f t="array" ref="U46">INDEX(ICL3_classA!$H$2:$H$39,MATCH(MIN(ABS(AI46-ICL3_classA!$F$2:$F$39)),ABS(AI46-ICL3_classA!$F$2:$F$39),0))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VLOOKUP(A47,Xtal_Templ!A:B,2,FALSE)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INDEX(ICL3_classA!$G$2:$G$39,MATCH(MIN(ABS(AI47-ICL3_classA!$F$2:$F$39)),ABS(AI47-ICL3_classA!$F$2:$F$39),0))</f>
        <v>76</v>
      </c>
      <c r="U47" s="1">
        <f t="array" ref="U47">INDEX(ICL3_classA!$H$2:$H$39,MATCH(MIN(ABS(AI47-ICL3_classA!$F$2:$F$39)),ABS(AI47-ICL3_classA!$F$2:$F$39),0))</f>
        <v>24</v>
      </c>
      <c r="V47" s="1">
        <v>64</v>
      </c>
      <c r="W47" s="1">
        <v>24</v>
      </c>
      <c r="X47" s="124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199</v>
      </c>
      <c r="B48" s="4" t="str">
        <f>VLOOKUP(A48,Xtal_Templ!A:B,2,FALSE)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INDEX(ICL3_classA!$G$2:$G$39,MATCH(MIN(ABS(AI48-ICL3_classA!$F$2:$F$39)),ABS(AI48-ICL3_classA!$F$2:$F$39),0))</f>
        <v>76</v>
      </c>
      <c r="U48" s="4">
        <f t="array" ref="U48">INDEX(ICL3_classA!$H$2:$H$39,MATCH(MIN(ABS(AI48-ICL3_classA!$F$2:$F$39)),ABS(AI48-ICL3_classA!$F$2:$F$39),0))</f>
        <v>24</v>
      </c>
      <c r="V48" s="4">
        <v>61</v>
      </c>
      <c r="W48" s="128">
        <f>VLOOKUP($B48&amp;"__wt",'SegEnds_Xtal_BW#'!$A:$Z,23,FALSE)</f>
        <v>27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216</v>
      </c>
      <c r="B49" s="1" t="str">
        <f>VLOOKUP(A49,Xtal_Templ!A:B,2,FALSE)</f>
        <v>ccr7_human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33</v>
      </c>
      <c r="T49" s="1">
        <f t="array" ref="T49">INDEX(ICL3_classA!$G$2:$G$39,MATCH(MIN(ABS(AI49-ICL3_classA!$F$2:$F$39)),ABS(AI49-ICL3_classA!$F$2:$F$39),0))</f>
        <v>68</v>
      </c>
      <c r="U49" s="1">
        <f t="array" ref="U49">INDEX(ICL3_classA!$H$2:$H$39,MATCH(MIN(ABS(AI49-ICL3_classA!$F$2:$F$39)),ABS(AI49-ICL3_classA!$F$2:$F$39),0))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230</v>
      </c>
      <c r="B50" s="1" t="str">
        <f>VLOOKUP(A50,Xtal_Templ!A:B,2,FALSE)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INDEX(ICL3_classA!$G$2:$G$39,MATCH(MIN(ABS(AI50-ICL3_classA!$F$2:$F$39)),ABS(AI50-ICL3_classA!$F$2:$F$39),0))</f>
        <v>68</v>
      </c>
      <c r="U50" s="1">
        <f t="array" ref="U50">INDEX(ICL3_classA!$H$2:$H$39,MATCH(MIN(ABS(AI50-ICL3_classA!$F$2:$F$39)),ABS(AI50-ICL3_classA!$F$2:$F$39),0))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240</v>
      </c>
      <c r="B51" s="1" t="str">
        <f>VLOOKUP(A51,Xtal_Templ!A:B,2,FALSE)</f>
        <v>ccr7_human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33</v>
      </c>
      <c r="T51" s="1">
        <f t="array" ref="T51">INDEX(ICL3_classA!$G$2:$G$39,MATCH(MIN(ABS(AI51-ICL3_classA!$F$2:$F$39)),ABS(AI51-ICL3_classA!$F$2:$F$39),0))</f>
        <v>68</v>
      </c>
      <c r="U51" s="1">
        <f t="array" ref="U51">INDEX(ICL3_classA!$H$2:$H$39,MATCH(MIN(ABS(AI51-ICL3_classA!$F$2:$F$39)),ABS(AI51-ICL3_classA!$F$2:$F$39),0))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250</v>
      </c>
      <c r="B52" s="1" t="str">
        <f>VLOOKUP(A52,Xtal_Templ!A:B,2,FALSE)</f>
        <v>fpr2_human</v>
      </c>
      <c r="C52" s="5">
        <f>VLOOKUP($B52&amp;"__wt",'SegEnds_Xtal_BW#'!$A:$Z,3,FALSE)</f>
        <v>25</v>
      </c>
      <c r="D52" s="1">
        <f>VLOOKUP($B52&amp;"__wt",'SegEnds_Xtal_BW#'!$A:$Z,4,FALSE)</f>
        <v>61</v>
      </c>
      <c r="E52" s="1" t="str">
        <f>VLOOKUP($B52&amp;"__wt",'SegEnds_Xtal_BW#'!$A:$Z,5,FALSE)</f>
        <v>-</v>
      </c>
      <c r="F52" s="1" t="str">
        <f>VLOOKUP($B52&amp;"__wt",'SegEnds_Xtal_BW#'!$A:$Z,6,FALSE)</f>
        <v>-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23</v>
      </c>
      <c r="T52" s="1">
        <f t="array" ref="T52">INDEX(ICL3_classA!$G$2:$G$39,MATCH(MIN(ABS(AI52-ICL3_classA!$F$2:$F$39)),ABS(AI52-ICL3_classA!$F$2:$F$39),0))</f>
        <v>68</v>
      </c>
      <c r="U52" s="1">
        <f t="array" ref="U52">INDEX(ICL3_classA!$H$2:$H$39,MATCH(MIN(ABS(AI52-ICL3_classA!$F$2:$F$39)),ABS(AI52-ICL3_classA!$F$2:$F$39),0))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280</v>
      </c>
      <c r="B53" s="1" t="str">
        <f>VLOOKUP(A53,Xtal_Templ!A:B,2,FALSE)</f>
        <v>acm3_rat</v>
      </c>
      <c r="C53" s="5">
        <f>VLOOKUP($B53&amp;"__wt",'SegEnds_Xtal_BW#'!$A:$Z,3,FALSE)</f>
        <v>28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INDEX(ICL3_classA!$G$2:$G$39,MATCH(MIN(ABS(AI54-ICL3_classA!$F$2:$F$39)),ABS(AI54-ICL3_classA!$F$2:$F$39),0))</f>
        <v>73</v>
      </c>
      <c r="U54" s="1">
        <f t="array" ref="U54">INDEX(ICL3_classA!$H$2:$H$39,MATCH(MIN(ABS(AI54-ICL3_classA!$F$2:$F$39)),ABS(AI54-ICL3_classA!$F$2:$F$39),0))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285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INDEX(ICL3_classA!$G$2:$G$39,MATCH(MIN(ABS(AI55-ICL3_classA!$F$2:$F$39)),ABS(AI55-ICL3_classA!$F$2:$F$39),0))</f>
        <v>73</v>
      </c>
      <c r="U55" s="1">
        <f t="array" ref="U55">INDEX(ICL3_classA!$H$2:$H$39,MATCH(MIN(ABS(AI55-ICL3_classA!$F$2:$F$39)),ABS(AI55-ICL3_classA!$F$2:$F$39),0))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286</v>
      </c>
      <c r="B56" s="1" t="str">
        <f>VLOOKUP(A56,Xtal_Templ!A:B,2,FALSE)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INDEX(ICL3_classA!$G$2:$G$39,MATCH(MIN(ABS(AI56-ICL3_classA!$F$2:$F$39)),ABS(AI56-ICL3_classA!$F$2:$F$39),0))</f>
        <v>73</v>
      </c>
      <c r="U56" s="1">
        <f t="array" ref="U56">INDEX(ICL3_classA!$H$2:$H$39,MATCH(MIN(ABS(AI56-ICL3_classA!$F$2:$F$39)),ABS(AI56-ICL3_classA!$F$2:$F$39),0))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287</v>
      </c>
      <c r="B57" s="1" t="str">
        <f>VLOOKUP(A57,Xtal_Templ!A:B,2,FALSE)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INDEX(ICL3_classA!$G$2:$G$39,MATCH(MIN(ABS(AI57-ICL3_classA!$F$2:$F$39)),ABS(AI57-ICL3_classA!$F$2:$F$39),0))</f>
        <v>68</v>
      </c>
      <c r="U57" s="1">
        <f t="array" ref="U57">INDEX(ICL3_classA!$H$2:$H$39,MATCH(MIN(ABS(AI57-ICL3_classA!$F$2:$F$39)),ABS(AI57-ICL3_classA!$F$2:$F$39),0))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288</v>
      </c>
      <c r="B58" s="1" t="str">
        <f>VLOOKUP(A58,Xtal_Templ!A:B,2,FALSE)</f>
        <v>cltr2_human</v>
      </c>
      <c r="C58" s="5">
        <f>VLOOKUP($B58&amp;"__wt",'SegEnds_Xtal_BW#'!$A:$Z,3,FALSE)</f>
        <v>25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32</v>
      </c>
      <c r="T58" s="1">
        <f t="array" ref="T58">INDEX(ICL3_classA!$G$2:$G$39,MATCH(MIN(ABS(AI58-ICL3_classA!$F$2:$F$39)),ABS(AI58-ICL3_classA!$F$2:$F$39),0))</f>
        <v>67</v>
      </c>
      <c r="U58" s="1">
        <f t="array" ref="U58">INDEX(ICL3_classA!$H$2:$H$39,MATCH(MIN(ABS(AI58-ICL3_classA!$F$2:$F$39)),ABS(AI58-ICL3_classA!$F$2:$F$39),0))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60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289</v>
      </c>
      <c r="B59" s="1" t="str">
        <f>VLOOKUP(A59,Xtal_Templ!A:B,2,FALSE)</f>
        <v>cltr1_human</v>
      </c>
      <c r="C59" s="5">
        <f>VLOOKUP($B59&amp;"__wt",'SegEnds_Xtal_BW#'!$A:$Z,3,FALSE)</f>
        <v>20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28</v>
      </c>
      <c r="T59" s="1">
        <f t="array" ref="T59">INDEX(ICL3_classA!$G$2:$G$39,MATCH(MIN(ABS(AI59-ICL3_classA!$F$2:$F$39)),ABS(AI59-ICL3_classA!$F$2:$F$39),0))</f>
        <v>68</v>
      </c>
      <c r="U59" s="1">
        <f t="array" ref="U59">INDEX(ICL3_classA!$H$2:$H$39,MATCH(MIN(ABS(AI59-ICL3_classA!$F$2:$F$39)),ABS(AI59-ICL3_classA!$F$2:$F$39),0))</f>
        <v>24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291</v>
      </c>
      <c r="B60" s="1" t="str">
        <f>VLOOKUP(A60,Xtal_Templ!A:B,2,FALSE)</f>
        <v>ccr7_human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08">
        <v>29</v>
      </c>
      <c r="T60" s="1">
        <f t="array" ref="T60">INDEX(ICL3_classA!$G$2:$G$39,MATCH(MIN(ABS(AI60-ICL3_classA!$F$2:$F$39)),ABS(AI60-ICL3_classA!$F$2:$F$39),0))</f>
        <v>68</v>
      </c>
      <c r="U60" s="1">
        <f t="array" ref="U60">INDEX(ICL3_classA!$H$2:$H$39,MATCH(MIN(ABS(AI60-ICL3_classA!$F$2:$F$39)),ABS(AI60-ICL3_classA!$F$2:$F$39),0))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292</v>
      </c>
      <c r="B61" s="1" t="str">
        <f>VLOOKUP(A61,Xtal_Templ!A:B,2,FALSE)</f>
        <v>pd2r2_human</v>
      </c>
      <c r="C61" s="5">
        <f>VLOOKUP($B61&amp;"__wt",'SegEnds_Xtal_BW#'!$A:$Z,3,FALSE)</f>
        <v>32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INDEX(ICL3_classA!$G$2:$G$39,MATCH(MIN(ABS(AI61-ICL3_classA!$F$2:$F$39)),ABS(AI61-ICL3_classA!$F$2:$F$39),0))</f>
        <v>67</v>
      </c>
      <c r="U61" s="1">
        <f t="array" ref="U61">INDEX(ICL3_classA!$H$2:$H$39,MATCH(MIN(ABS(AI61-ICL3_classA!$F$2:$F$39)),ABS(AI61-ICL3_classA!$F$2:$F$39),0))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64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300</v>
      </c>
      <c r="B62" s="1" t="str">
        <f>VLOOKUP(A62,Xtal_Templ!A:B,2,FALSE)</f>
        <v>c5ar1_human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 t="str">
        <f>VLOOKUP($B62&amp;"__wt",'SegEnds_Xtal_BW#'!$A:$Z,5,FALSE)</f>
        <v>-</v>
      </c>
      <c r="F62" s="1" t="str">
        <f>VLOOKUP($B62&amp;"__wt",'SegEnds_Xtal_BW#'!$A:$Z,6,FALSE)</f>
        <v>-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INDEX(ICL3_classA!$G$2:$G$39,MATCH(MIN(ABS(AI62-ICL3_classA!$F$2:$F$39)),ABS(AI62-ICL3_classA!$F$2:$F$39),0))</f>
        <v>68</v>
      </c>
      <c r="U62" s="1">
        <f t="array" ref="U62">INDEX(ICL3_classA!$H$2:$H$39,MATCH(MIN(ABS(AI62-ICL3_classA!$F$2:$F$39)),ABS(AI62-ICL3_classA!$F$2:$F$39),0))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56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319</v>
      </c>
      <c r="B63" s="1" t="str">
        <f>VLOOKUP(A63,Xtal_Templ!A:B,2,FALSE)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30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23</v>
      </c>
      <c r="V63" s="1">
        <v>61</v>
      </c>
      <c r="W63" s="128">
        <f>VLOOKUP($B63&amp;"__wt",'SegEnds_Xtal_BW#'!$A:$Z,23,FALSE)</f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320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30</v>
      </c>
      <c r="T64" s="1">
        <f t="array" ref="T64">INDEX(ICL3_classA!$G$2:$G$39,MATCH(MIN(ABS(AI64-ICL3_classA!$F$2:$F$39)),ABS(AI64-ICL3_classA!$F$2:$F$39),0))</f>
        <v>68</v>
      </c>
      <c r="U64" s="1">
        <f t="array" ref="U64">INDEX(ICL3_classA!$H$2:$H$39,MATCH(MIN(ABS(AI64-ICL3_classA!$F$2:$F$39)),ABS(AI64-ICL3_classA!$F$2:$F$39),0))</f>
        <v>23</v>
      </c>
      <c r="V64" s="1">
        <v>61</v>
      </c>
      <c r="W64" s="128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334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08"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23</v>
      </c>
      <c r="V65" s="1">
        <v>61</v>
      </c>
      <c r="W65" s="128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911</v>
      </c>
      <c r="B66" s="1" t="str">
        <f>VLOOKUP(A66,Xtal_Templ!A:B,2,FALSE)</f>
        <v>oprd_mouse</v>
      </c>
      <c r="C66" s="5">
        <f>VLOOKUP($B66&amp;"__wt",'SegEnds_Xtal_BW#'!$A:$Z,3,FALSE)</f>
        <v>24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08"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INDEX(ICL3_classA!$G$2:$G$39,MATCH(MIN(ABS(AI66-ICL3_classA!$F$2:$F$39)),ABS(AI66-ICL3_classA!$F$2:$F$39),0))</f>
        <v>68</v>
      </c>
      <c r="U66" s="1">
        <f t="array" ref="U66">INDEX(ICL3_classA!$H$2:$H$39,MATCH(MIN(ABS(AI66-ICL3_classA!$F$2:$F$39)),ABS(AI66-ICL3_classA!$F$2:$F$39),0))</f>
        <v>23</v>
      </c>
      <c r="V66" s="1">
        <v>61</v>
      </c>
      <c r="W66" s="128">
        <f>VLOOKUP($B66&amp;"__wt",'SegEnds_Xtal_BW#'!$A:$Z,23,FALSE)</f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335</v>
      </c>
      <c r="B67" s="1" t="str">
        <f>VLOOKUP(A67,Xtal_Templ!A:B,2,FALSE)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08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INDEX(ICL3_classA!$G$2:$G$39,MATCH(MIN(ABS(AI67-ICL3_classA!$F$2:$F$39)),ABS(AI67-ICL3_classA!$F$2:$F$39),0))</f>
        <v>68</v>
      </c>
      <c r="U67" s="1">
        <f t="array" ref="U67">INDEX(ICL3_classA!$H$2:$H$39,MATCH(MIN(ABS(AI67-ICL3_classA!$F$2:$F$39)),ABS(AI67-ICL3_classA!$F$2:$F$39),0))</f>
        <v>23</v>
      </c>
      <c r="V67" s="1">
        <v>61</v>
      </c>
      <c r="W67" s="128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336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08"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INDEX(ICL3_classA!$G$2:$G$39,MATCH(MIN(ABS(AI68-ICL3_classA!$F$2:$F$39)),ABS(AI68-ICL3_classA!$F$2:$F$39),0))</f>
        <v>68</v>
      </c>
      <c r="U68" s="1">
        <f t="array" ref="U68">INDEX(ICL3_classA!$H$2:$H$39,MATCH(MIN(ABS(AI68-ICL3_classA!$F$2:$F$39)),ABS(AI68-ICL3_classA!$F$2:$F$39),0))</f>
        <v>23</v>
      </c>
      <c r="V68" s="1">
        <v>61</v>
      </c>
      <c r="W68" s="128">
        <f>VLOOKUP($B68&amp;"__wt",'SegEnds_Xtal_BW#'!$A:$Z,23,FALSE)</f>
        <v>28</v>
      </c>
      <c r="X68" s="123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913</v>
      </c>
      <c r="B69" s="1" t="str">
        <f>VLOOKUP(A69,Xtal_Templ!A:B,2,FALSE)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30</v>
      </c>
      <c r="T69" s="1">
        <f t="array" ref="T69">INDEX(ICL3_classA!$G$2:$G$39,MATCH(MIN(ABS(AI69-ICL3_classA!$F$2:$F$39)),ABS(AI69-ICL3_classA!$F$2:$F$39),0))</f>
        <v>68</v>
      </c>
      <c r="U69" s="1">
        <f t="array" ref="U69">INDEX(ICL3_classA!$H$2:$H$39,MATCH(MIN(ABS(AI69-ICL3_classA!$F$2:$F$39)),ABS(AI69-ICL3_classA!$F$2:$F$39),0))</f>
        <v>23</v>
      </c>
      <c r="V69" s="1">
        <v>61</v>
      </c>
      <c r="W69" s="128">
        <f>VLOOKUP($B69&amp;"__wt",'SegEnds_Xtal_BW#'!$A:$Z,23,FALSE)</f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1169</v>
      </c>
      <c r="B70" s="1" t="str">
        <f>VLOOKUP(A70,Xtal_Templ!A:B,2,FALSE)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08"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30</v>
      </c>
      <c r="T70" s="1">
        <f t="array" ref="T70">INDEX(ICL3_classA!$G$2:$G$39,MATCH(MIN(ABS(AI70-ICL3_classA!$F$2:$F$39)),ABS(AI70-ICL3_classA!$F$2:$F$39),0))</f>
        <v>68</v>
      </c>
      <c r="U70" s="1">
        <f t="array" ref="U70">INDEX(ICL3_classA!$H$2:$H$39,MATCH(MIN(ABS(AI70-ICL3_classA!$F$2:$F$39)),ABS(AI70-ICL3_classA!$F$2:$F$39),0))</f>
        <v>23</v>
      </c>
      <c r="V70" s="1">
        <v>61</v>
      </c>
      <c r="W70" s="128">
        <f>VLOOKUP($B70&amp;"__wt",'SegEnds_Xtal_BW#'!$A:$Z,23,FALSE)</f>
        <v>28</v>
      </c>
      <c r="X70" s="123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349</v>
      </c>
      <c r="B71" s="4" t="str">
        <f>VLOOKUP(A71,Xtal_Templ!A:B,2,FALSE)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INDEX(ICL3_classA!$G$2:$G$39,MATCH(MIN(ABS(AI71-ICL3_classA!$F$2:$F$39)),ABS(AI71-ICL3_classA!$F$2:$F$39),0))</f>
        <v>68</v>
      </c>
      <c r="U71" s="4">
        <f t="array" ref="U71">INDEX(ICL3_classA!$H$2:$H$39,MATCH(MIN(ABS(AI71-ICL3_classA!$F$2:$F$39)),ABS(AI71-ICL3_classA!$F$2:$F$39),0))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360</v>
      </c>
      <c r="B72" s="1" t="str">
        <f>VLOOKUP(A72,Xtal_Templ!A:B,2,FALSE)</f>
        <v>ta2r_human</v>
      </c>
      <c r="C72" s="5">
        <f>VLOOKUP($B72&amp;"__wt",'SegEnds_Xtal_BW#'!$A:$Z,3,FALSE)</f>
        <v>35</v>
      </c>
      <c r="D72" s="108">
        <v>61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53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08">
        <v>31</v>
      </c>
      <c r="T72" s="1">
        <f t="array" ref="T72">INDEX(ICL3_classA!$G$2:$G$39,MATCH(MIN(ABS(AI72-ICL3_classA!$F$2:$F$39)),ABS(AI72-ICL3_classA!$F$2:$F$39),0))</f>
        <v>74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66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1436</v>
      </c>
      <c r="B73" s="1" t="str">
        <f>VLOOKUP(A73,Xtal_Templ!A:B,2,FALSE)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INDEX(ICL3_classA!$G$2:$G$39,MATCH(MIN(ABS(AI73-ICL3_classA!$F$2:$F$39)),ABS(AI73-ICL3_classA!$F$2:$F$39),0))</f>
        <v>68</v>
      </c>
      <c r="U73" s="1">
        <f t="array" ref="U73">INDEX(ICL3_classA!$H$2:$H$39,MATCH(MIN(ABS(AI73-ICL3_classA!$F$2:$F$39)),ABS(AI73-ICL3_classA!$F$2:$F$39),0))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1447</v>
      </c>
      <c r="B74" s="1" t="s">
        <v>1447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INDEX(ICL3_classA!$G$2:$G$39,MATCH(MIN(ABS(AI74-ICL3_classA!$F$2:$F$39)),ABS(AI74-ICL3_classA!$F$2:$F$39),0))</f>
        <v>68</v>
      </c>
      <c r="U74" s="1">
        <f t="array" ref="U74">INDEX(ICL3_classA!$H$2:$H$39,MATCH(MIN(ABS(AI74-ICL3_classA!$F$2:$F$39)),ABS(AI74-ICL3_classA!$F$2:$F$39),0))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VLOOKUP(A75,Xtal_Templ!A:B,2,FALSE)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INDEX(ICL3_classA!$G$2:$G$39,MATCH(MIN(ABS(AI75-ICL3_classA!$F$2:$F$39)),ABS(AI75-ICL3_classA!$F$2:$F$39),0))</f>
        <v>73</v>
      </c>
      <c r="U75" s="4">
        <f t="array" ref="U75">INDEX(ICL3_classA!$H$2:$H$39,MATCH(MIN(ABS(AI75-ICL3_classA!$F$2:$F$39)),ABS(AI75-ICL3_classA!$F$2:$F$39),0))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376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INDEX(ICL3_classA!$G$2:$G$39,MATCH(MIN(ABS(AI76-ICL3_classA!$F$2:$F$39)),ABS(AI76-ICL3_classA!$F$2:$F$39),0))</f>
        <v>67</v>
      </c>
      <c r="U76" s="1">
        <f t="array" ref="U76">INDEX(ICL3_classA!$H$2:$H$39,MATCH(MIN(ABS(AI76-ICL3_classA!$F$2:$F$39)),ABS(AI76-ICL3_classA!$F$2:$F$39),0))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377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378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INDEX(ICL3_classA!$G$2:$G$39,MATCH(MIN(ABS(AI78-ICL3_classA!$F$2:$F$39)),ABS(AI78-ICL3_classA!$F$2:$F$39),0))</f>
        <v>68</v>
      </c>
      <c r="U78" s="1">
        <f t="array" ref="U78">INDEX(ICL3_classA!$H$2:$H$39,MATCH(MIN(ABS(AI78-ICL3_classA!$F$2:$F$39)),ABS(AI78-ICL3_classA!$F$2:$F$39),0))</f>
        <v>23</v>
      </c>
      <c r="V78" s="1">
        <v>61</v>
      </c>
      <c r="W78" s="128">
        <f>VLOOKUP($B78&amp;"__wt",'SegEnds_Xtal_BW#'!$A:$Z,23,FALSE)</f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379</v>
      </c>
      <c r="B79" s="1" t="str">
        <f>VLOOKUP(A79,Xtal_Templ!A:B,2,FALSE)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INDEX(ICL3_classA!$G$2:$G$39,MATCH(MIN(ABS(AI79-ICL3_classA!$F$2:$F$39)),ABS(AI79-ICL3_classA!$F$2:$F$39),0))</f>
        <v>74</v>
      </c>
      <c r="U79" s="1">
        <f t="array" ref="U79">INDEX(ICL3_classA!$H$2:$H$39,MATCH(MIN(ABS(AI79-ICL3_classA!$F$2:$F$39)),ABS(AI79-ICL3_classA!$F$2:$F$39),0))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380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INDEX(ICL3_classA!$G$2:$G$39,MATCH(MIN(ABS(AI80-ICL3_classA!$F$2:$F$39)),ABS(AI80-ICL3_classA!$F$2:$F$39),0))</f>
        <v>68</v>
      </c>
      <c r="U80" s="1">
        <f t="array" ref="U80">INDEX(ICL3_classA!$H$2:$H$39,MATCH(MIN(ABS(AI80-ICL3_classA!$F$2:$F$39)),ABS(AI80-ICL3_classA!$F$2:$F$39),0))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381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INDEX(ICL3_classA!$G$2:$G$39,MATCH(MIN(ABS(AI81-ICL3_classA!$F$2:$F$39)),ABS(AI81-ICL3_classA!$F$2:$F$39),0))</f>
        <v>68</v>
      </c>
      <c r="U81" s="1">
        <f t="array" ref="U81">INDEX(ICL3_classA!$H$2:$H$39,MATCH(MIN(ABS(AI81-ICL3_classA!$F$2:$F$39)),ABS(AI81-ICL3_classA!$F$2:$F$39),0))</f>
        <v>23</v>
      </c>
      <c r="V81" s="1">
        <v>61</v>
      </c>
      <c r="W81" s="128">
        <f>VLOOKUP($B81&amp;"__wt",'SegEnds_Xtal_BW#'!$A:$Z,23,FALSE)</f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382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INDEX(ICL3_classA!$G$2:$G$39,MATCH(MIN(ABS(AI82-ICL3_classA!$F$2:$F$39)),ABS(AI82-ICL3_classA!$F$2:$F$39),0))</f>
        <v>72</v>
      </c>
      <c r="U82" s="1">
        <f t="array" ref="U82">INDEX(ICL3_classA!$H$2:$H$39,MATCH(MIN(ABS(AI82-ICL3_classA!$F$2:$F$39)),ABS(AI82-ICL3_classA!$F$2:$F$39),0))</f>
        <v>24</v>
      </c>
      <c r="V82" s="1">
        <v>61</v>
      </c>
      <c r="W82" s="128">
        <f>VLOOKUP($B82&amp;"__wt",'SegEnds_Xtal_BW#'!$A:$Z,23,FALSE)</f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383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INDEX(ICL3_classA!$G$2:$G$39,MATCH(MIN(ABS(AI83-ICL3_classA!$F$2:$F$39)),ABS(AI83-ICL3_classA!$F$2:$F$39),0))</f>
        <v>68</v>
      </c>
      <c r="U83" s="1">
        <f t="array" ref="U83">INDEX(ICL3_classA!$H$2:$H$39,MATCH(MIN(ABS(AI83-ICL3_classA!$F$2:$F$39)),ABS(AI83-ICL3_classA!$F$2:$F$39),0))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384</v>
      </c>
      <c r="B84" s="1" t="str">
        <f>VLOOKUP(A84,Xtal_Templ!A:B,2,FALSE)</f>
        <v>oprd_human</v>
      </c>
      <c r="C84" s="5">
        <f>VLOOKUP($B84&amp;"__wt",'SegEnds_Xtal_BW#'!$A:$Z,3,FALSE)</f>
        <v>22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INDEX(ICL3_classA!$G$2:$G$39,MATCH(MIN(ABS(AI84-ICL3_classA!$F$2:$F$39)),ABS(AI84-ICL3_classA!$F$2:$F$39),0))</f>
        <v>72</v>
      </c>
      <c r="U84" s="1">
        <f t="array" ref="U84">INDEX(ICL3_classA!$H$2:$H$39,MATCH(MIN(ABS(AI84-ICL3_classA!$F$2:$F$39)),ABS(AI84-ICL3_classA!$F$2:$F$39),0))</f>
        <v>29</v>
      </c>
      <c r="V84" s="1">
        <v>61</v>
      </c>
      <c r="W84" s="128">
        <f>VLOOKUP($B84&amp;"__wt",'SegEnds_Xtal_BW#'!$A:$Z,23,FALSE)</f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385</v>
      </c>
      <c r="B85" s="1" t="str">
        <f>VLOOKUP(A85,Xtal_Templ!A:B,2,FALSE)</f>
        <v>sucr1_rat</v>
      </c>
      <c r="C85" s="5">
        <f>VLOOKUP($B85&amp;"__wt",'SegEnds_Xtal_BW#'!$A:$Z,3,FALSE)</f>
        <v>20</v>
      </c>
      <c r="D85" s="1">
        <f>VLOOKUP($B85&amp;"__wt",'SegEnds_Xtal_BW#'!$A:$Z,4,FALSE)</f>
        <v>61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67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31</v>
      </c>
      <c r="T85" s="1">
        <f t="array" ref="T85">INDEX(ICL3_classA!$G$2:$G$39,MATCH(MIN(ABS(AI85-ICL3_classA!$F$2:$F$39)),ABS(AI85-ICL3_classA!$F$2:$F$39),0))</f>
        <v>68</v>
      </c>
      <c r="U85" s="1">
        <f t="array" ref="U85">INDEX(ICL3_classA!$H$2:$H$39,MATCH(MIN(ABS(AI85-ICL3_classA!$F$2:$F$39)),ABS(AI85-ICL3_classA!$F$2:$F$39),0))</f>
        <v>24</v>
      </c>
      <c r="V85" s="1">
        <v>64</v>
      </c>
      <c r="W85" s="1">
        <v>24</v>
      </c>
      <c r="X85" s="123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65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4" t="s">
        <v>1593</v>
      </c>
      <c r="B86" s="4" t="str">
        <f>VLOOKUP(A86,Xtal_Templ!A:B,2,FALSE)</f>
        <v>sucr1_rat</v>
      </c>
      <c r="C86" s="5">
        <f>VLOOKUP($B86&amp;"__wt",'SegEnds_Xtal_BW#'!$A:$Z,3,FALSE)</f>
        <v>20</v>
      </c>
      <c r="D86" s="4">
        <f>VLOOKUP($B86&amp;"__wt",'SegEnds_Xtal_BW#'!$A:$Z,4,FALSE)</f>
        <v>61</v>
      </c>
      <c r="E86" s="4" t="str">
        <f>VLOOKUP($B86&amp;"__wt",'SegEnds_Xtal_BW#'!$A:$Z,5,FALSE)</f>
        <v>-</v>
      </c>
      <c r="F86" s="4" t="str">
        <f>VLOOKUP($B86&amp;"__wt",'SegEnds_Xtal_BW#'!$A:$Z,6,FALSE)</f>
        <v>-</v>
      </c>
      <c r="G86" s="4">
        <v>37</v>
      </c>
      <c r="H86" s="11">
        <f>VLOOKUP($B86&amp;"__wt",'SegEnds_Xtal_BW#'!$A:$Z,8,FALSE)</f>
        <v>67</v>
      </c>
      <c r="I86" s="4">
        <f>VLOOKUP($B86&amp;"__wt",'SegEnds_Xtal_BW#'!$A:$Z,9,FALSE)</f>
        <v>49</v>
      </c>
      <c r="J86" s="4">
        <f>VLOOKUP($B86&amp;"__wt",'SegEnds_Xtal_BW#'!$A:$Z,10,FALSE)</f>
        <v>52</v>
      </c>
      <c r="K86" s="11">
        <v>21</v>
      </c>
      <c r="L86" s="4">
        <f>VLOOKUP($B86&amp;"__wt",'SegEnds_Xtal_BW#'!$A:$Z,12,FALSE)</f>
        <v>56</v>
      </c>
      <c r="M86" s="4">
        <f>VLOOKUP($B86&amp;"__wt",'SegEnds_Xtal_BW#'!$A:$Z,13,FALSE)</f>
        <v>50</v>
      </c>
      <c r="N86" s="12">
        <f>VLOOKUP($B86&amp;"__wt",'SegEnds_Xtal_BW#'!$A:$Z,14,FALSE)</f>
        <v>57</v>
      </c>
      <c r="O86" s="87">
        <f>VLOOKUP($B86&amp;"__wt",'SegEnds_Xtal_BW#'!$A:$Z,15,FALSE)</f>
        <v>38</v>
      </c>
      <c r="P86" s="115">
        <f>VLOOKUP($B86&amp;"__wt",'SegEnds_Xtal_BW#'!$A:$Z,16,FALSE)</f>
        <v>67</v>
      </c>
      <c r="Q86" s="4">
        <f>VLOOKUP($B86&amp;"__wt",'SegEnds_Xtal_BW#'!$A:$Z,17,FALSE)</f>
        <v>50</v>
      </c>
      <c r="R86" s="4">
        <f>VLOOKUP($B86&amp;"__wt",'SegEnds_Xtal_BW#'!$A:$Z,18,FALSE)</f>
        <v>52</v>
      </c>
      <c r="S86" s="1">
        <f>VLOOKUP($B86&amp;"__wt",'SegEnds_Xtal_BW#'!$A:$Z,19,FALSE)</f>
        <v>31</v>
      </c>
      <c r="T86" s="4">
        <f t="array" ref="T86">INDEX(ICL3_classA!$G$2:$G$39,MATCH(MIN(ABS(AI86-ICL3_classA!$F$2:$F$39)),ABS(AI86-ICL3_classA!$F$2:$F$39),0))</f>
        <v>68</v>
      </c>
      <c r="U86" s="4">
        <f t="array" ref="U86">INDEX(ICL3_classA!$H$2:$H$39,MATCH(MIN(ABS(AI86-ICL3_classA!$F$2:$F$39)),ABS(AI86-ICL3_classA!$F$2:$F$39),0))</f>
        <v>24</v>
      </c>
      <c r="V86" s="115">
        <v>63</v>
      </c>
      <c r="W86" s="115">
        <v>26</v>
      </c>
      <c r="X86" s="4">
        <f>VLOOKUP($B86&amp;"__wt",'SegEnds_Xtal_BW#'!$A:$Z,24,FALSE)</f>
        <v>56</v>
      </c>
      <c r="Y86" s="4">
        <f>VLOOKUP($B86&amp;"__wt",'SegEnds_Xtal_BW#'!$A:$Z,25,FALSE)</f>
        <v>47</v>
      </c>
      <c r="Z86" s="4">
        <f>VLOOKUP($B86&amp;"__wt",'SegEnds_Xtal_BW#'!$A:$Z,26,FALSE)</f>
        <v>65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4" t="e">
        <f>VLOOKUP(A86,'SegEnds_NonXtal_Prot#'!A:AL,10,FALSE)-VLOOKUP(A86,'SegEnds_NonXtal_Prot#'!A:AL,7,FALSE)</f>
        <v>#VALUE!</v>
      </c>
      <c r="AD86" s="4">
        <f>VLOOKUP(A86,'SegEnds_NonXtal_Prot#'!A:AL,13,FALSE)-VLOOKUP(A86,'SegEnds_NonXtal_Prot#'!A:AL,10,FALSE)</f>
        <v>19</v>
      </c>
      <c r="AE86" s="4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20</v>
      </c>
      <c r="AG86" s="4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52</v>
      </c>
      <c r="AI86" s="4">
        <f>VLOOKUP(A86,'SegEnds_NonXtal_Prot#'!A:AL,31,FALSE)-VLOOKUP(A86,'SegEnds_NonXtal_Prot#'!A:AL,28,FALSE)</f>
        <v>48</v>
      </c>
      <c r="AJ86" s="4">
        <f>VLOOKUP(A86,'SegEnds_NonXtal_Prot#'!A:AL,34,FALSE)-VLOOKUP(A86,'SegEnds_NonXtal_Prot#'!A:AL,31,FALSE)</f>
        <v>44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395</v>
      </c>
      <c r="B87" s="1" t="str">
        <f>VLOOKUP(A87,Xtal_Templ!A:B,2,FALSE)</f>
        <v>ccr5_human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21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30</v>
      </c>
      <c r="T87" s="1">
        <f t="array" ref="T87">INDEX(ICL3_classA!$G$2:$G$39,MATCH(MIN(ABS(AI87-ICL3_classA!$F$2:$F$39)),ABS(AI87-ICL3_classA!$F$2:$F$39),0))</f>
        <v>72</v>
      </c>
      <c r="U87" s="1">
        <f t="array" ref="U87">INDEX(ICL3_classA!$H$2:$H$39,MATCH(MIN(ABS(AI87-ICL3_classA!$F$2:$F$39)),ABS(AI87-ICL3_classA!$F$2:$F$39),0))</f>
        <v>29</v>
      </c>
      <c r="V87" s="1">
        <v>61</v>
      </c>
      <c r="W87" s="128">
        <f>VLOOKUP($B87&amp;"__wt",'SegEnds_Xtal_BW#'!$A:$Z,23,FALSE)</f>
        <v>24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19</v>
      </c>
      <c r="AE87" s="1">
        <f>VLOOKUP(A87,'SegEnds_NonXtal_Prot#'!A:AL,16,FALSE)-VLOOKUP(A87,'SegEnds_NonXtal_Prot#'!A:AL,10,FALSE)</f>
        <v>51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49</v>
      </c>
      <c r="AI87" s="1">
        <f>VLOOKUP(A87,'SegEnds_NonXtal_Prot#'!A:AL,31,FALSE)-VLOOKUP(A87,'SegEnds_NonXtal_Prot#'!A:AL,28,FALSE)</f>
        <v>50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128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60</v>
      </c>
      <c r="W88" s="1">
        <v>31</v>
      </c>
      <c r="X88" s="123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20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153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74</v>
      </c>
      <c r="U89" s="1">
        <f t="array" ref="U89">INDEX(ICL3_classA!$H$2:$H$39,MATCH(MIN(ABS(AI89-ICL3_classA!$F$2:$F$39)),ABS(AI89-ICL3_classA!$F$2:$F$39),0))</f>
        <v>24</v>
      </c>
      <c r="V89" s="1">
        <v>60</v>
      </c>
      <c r="W89" s="1">
        <v>31</v>
      </c>
      <c r="X89" s="123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109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129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INDEX(ICL3_classA!$G$2:$G$39,MATCH(MIN(ABS(AI90-ICL3_classA!$F$2:$F$39)),ABS(AI90-ICL3_classA!$F$2:$F$39),0))</f>
        <v>74</v>
      </c>
      <c r="U90" s="1">
        <f t="array" ref="U90">INDEX(ICL3_classA!$H$2:$H$39,MATCH(MIN(ABS(AI90-ICL3_classA!$F$2:$F$39)),ABS(AI90-ICL3_classA!$F$2:$F$39),0))</f>
        <v>24</v>
      </c>
      <c r="V90" s="1">
        <v>60</v>
      </c>
      <c r="W90" s="1">
        <v>31</v>
      </c>
      <c r="X90" s="123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46</v>
      </c>
      <c r="AI90" s="1">
        <f>VLOOKUP(A90,'SegEnds_NonXtal_Prot#'!A:AL,31,FALSE)-VLOOKUP(A90,'SegEnds_NonXtal_Prot#'!A:AL,28,FALSE)</f>
        <v>107</v>
      </c>
      <c r="AJ90" s="1">
        <f>VLOOKUP(A90,'SegEnds_NonXtal_Prot#'!A:AL,34,FALSE)-VLOOKUP(A90,'SegEnds_NonXtal_Prot#'!A:AL,31,FALSE)</f>
        <v>37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130</v>
      </c>
      <c r="B91" s="1" t="str">
        <f>VLOOKUP(A91,Xtal_Templ!A:B,2,FALSE)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INDEX(ICL3_classA!$G$2:$G$39,MATCH(MIN(ABS(AI91-ICL3_classA!$F$2:$F$39)),ABS(AI91-ICL3_classA!$F$2:$F$39),0))</f>
        <v>76</v>
      </c>
      <c r="U91" s="1">
        <f t="array" ref="U91">INDEX(ICL3_classA!$H$2:$H$39,MATCH(MIN(ABS(AI91-ICL3_classA!$F$2:$F$39)),ABS(AI91-ICL3_classA!$F$2:$F$39),0))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47</v>
      </c>
      <c r="AI91" s="1">
        <f>VLOOKUP(A91,'SegEnds_NonXtal_Prot#'!A:AL,31,FALSE)-VLOOKUP(A91,'SegEnds_NonXtal_Prot#'!A:AL,28,FALSE)</f>
        <v>112</v>
      </c>
      <c r="AJ91" s="1">
        <f>VLOOKUP(A91,'SegEnds_NonXtal_Prot#'!A:AL,34,FALSE)-VLOOKUP(A91,'SegEnds_NonXtal_Prot#'!A:AL,31,FALSE)</f>
        <v>35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131</v>
      </c>
      <c r="B92" s="1" t="str">
        <f>VLOOKUP(A92,Xtal_Templ!A:B,2,FALSE)</f>
        <v>5ht1b_human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63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INDEX(ICL3_classA!$G$2:$G$39,MATCH(MIN(ABS(AI92-ICL3_classA!$F$2:$F$39)),ABS(AI92-ICL3_classA!$F$2:$F$39),0))</f>
        <v>76</v>
      </c>
      <c r="U92" s="1">
        <f t="array" ref="U92">INDEX(ICL3_classA!$H$2:$H$39,MATCH(MIN(ABS(AI92-ICL3_classA!$F$2:$F$39)),ABS(AI92-ICL3_classA!$F$2:$F$39),0))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21</v>
      </c>
      <c r="AH92" s="1">
        <f>VLOOKUP(A92,'SegEnds_NonXtal_Prot#'!A:AL,28,FALSE)-VLOOKUP(A92,'SegEnds_NonXtal_Prot#'!A:AL,22,FALSE)</f>
        <v>45</v>
      </c>
      <c r="AI92" s="1">
        <f>VLOOKUP(A92,'SegEnds_NonXtal_Prot#'!A:AL,31,FALSE)-VLOOKUP(A92,'SegEnds_NonXtal_Prot#'!A:AL,28,FALSE)</f>
        <v>115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134</v>
      </c>
      <c r="B93" s="1" t="str">
        <f>VLOOKUP(A93,Xtal_Templ!A:B,2,FALSE)</f>
        <v>drd2_human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35</v>
      </c>
      <c r="T93" s="1">
        <f t="array" ref="T93">INDEX(ICL3_classA!$G$2:$G$39,MATCH(MIN(ABS(AI93-ICL3_classA!$F$2:$F$39)),ABS(AI93-ICL3_classA!$F$2:$F$39),0))</f>
        <v>76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">
        <v>31</v>
      </c>
      <c r="X93" s="124"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29</v>
      </c>
      <c r="AC93" s="1">
        <f>VLOOKUP(A93,'SegEnds_NonXtal_Prot#'!A:AL,10,FALSE)-VLOOKUP(A93,'SegEnds_NonXtal_Prot#'!A:AL,7,FALSE)</f>
        <v>16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58</v>
      </c>
      <c r="AI93" s="1">
        <f>VLOOKUP(A93,'SegEnds_NonXtal_Prot#'!A:AL,31,FALSE)-VLOOKUP(A93,'SegEnds_NonXtal_Prot#'!A:AL,28,FALSE)</f>
        <v>70</v>
      </c>
      <c r="AJ93" s="1">
        <f>VLOOKUP(A93,'SegEnds_NonXtal_Prot#'!A:AL,34,FALSE)-VLOOKUP(A93,'SegEnds_NonXtal_Prot#'!A:AL,31,FALSE)</f>
        <v>35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136</v>
      </c>
      <c r="B94" s="1" t="str">
        <f>VLOOKUP(A94,Xtal_Templ!A:B,2,FALSE)</f>
        <v>5ht2c_human</v>
      </c>
      <c r="C94" s="5">
        <f>VLOOKUP($B94&amp;"__wt",'SegEnds_Xtal_BW#'!$A:$Z,3,FALSE)</f>
        <v>33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67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60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83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144</v>
      </c>
      <c r="B95" s="1" t="str">
        <f>VLOOKUP(A95,Xtal_Templ!A:B,2,FALSE)</f>
        <v>ccr7_human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58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33</v>
      </c>
      <c r="T95" s="1">
        <f t="array" ref="T95">INDEX(ICL3_classA!$G$2:$G$39,MATCH(MIN(ABS(AI95-ICL3_classA!$F$2:$F$39)),ABS(AI95-ICL3_classA!$F$2:$F$39),0))</f>
        <v>68</v>
      </c>
      <c r="U95" s="1">
        <f t="array" ref="U95">INDEX(ICL3_classA!$H$2:$H$39,MATCH(MIN(ABS(AI95-ICL3_classA!$F$2:$F$39)),ABS(AI95-ICL3_classA!$F$2:$F$39),0))</f>
        <v>30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55</v>
      </c>
      <c r="AI95" s="1">
        <f>VLOOKUP(A95,'SegEnds_NonXtal_Prot#'!A:AL,31,FALSE)-VLOOKUP(A95,'SegEnds_NonXtal_Prot#'!A:AL,28,FALSE)</f>
        <v>43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146</v>
      </c>
      <c r="B96" s="1" t="str">
        <f>VLOOKUP(A96,Xtal_Templ!A:B,2,FALSE)</f>
        <v>acm1_human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INDEX(ICL3_classA!$G$2:$G$39,MATCH(MIN(ABS(AI96-ICL3_classA!$F$2:$F$39)),ABS(AI96-ICL3_classA!$F$2:$F$39),0))</f>
        <v>75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60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180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147</v>
      </c>
      <c r="B97" s="1" t="str">
        <f>VLOOKUP(A97,Xtal_Templ!A:B,2,FALSE)</f>
        <v>acm2_human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INDEX(ICL3_classA!$G$2:$G$39,MATCH(MIN(ABS(AI97-ICL3_classA!$F$2:$F$39)),ABS(AI97-ICL3_classA!$F$2:$F$39),0))</f>
        <v>75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204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148</v>
      </c>
      <c r="B98" s="1" t="str">
        <f>VLOOKUP(A98,Xtal_Templ!A:B,2,FALSE)</f>
        <v>acm3_rat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INDEX(ICL3_classA!$G$2:$G$39,MATCH(MIN(ABS(AI98-ICL3_classA!$F$2:$F$39)),ABS(AI98-ICL3_classA!$F$2:$F$39),0))</f>
        <v>75</v>
      </c>
      <c r="U98" s="1">
        <f t="array" ref="U98">INDEX(ICL3_classA!$H$2:$H$39,MATCH(MIN(ABS(AI98-ICL3_classA!$F$2:$F$39)),ABS(AI98-ICL3_classA!$F$2:$F$39),0))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263</v>
      </c>
      <c r="AJ98" s="1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4" t="s">
        <v>905</v>
      </c>
      <c r="B99" s="4" t="str">
        <f>VLOOKUP(A99,Xtal_Templ!A:B,2,FALSE)</f>
        <v>acm3_rat</v>
      </c>
      <c r="C99" s="5">
        <f>VLOOKUP($B99&amp;"__wt",'SegEnds_Xtal_BW#'!$A:$Z,3,FALSE)</f>
        <v>28</v>
      </c>
      <c r="D99" s="4">
        <f>VLOOKUP($B99&amp;"__wt",'SegEnds_Xtal_BW#'!$A:$Z,4,FALSE)</f>
        <v>60</v>
      </c>
      <c r="E99" s="4">
        <f>VLOOKUP($B99&amp;"__wt",'SegEnds_Xtal_BW#'!$A:$Z,5,FALSE)</f>
        <v>48</v>
      </c>
      <c r="F99" s="4">
        <f>VLOOKUP($B99&amp;"__wt",'SegEnds_Xtal_BW#'!$A:$Z,6,FALSE)</f>
        <v>51</v>
      </c>
      <c r="G99" s="4">
        <v>37</v>
      </c>
      <c r="H99" s="11">
        <f>VLOOKUP($B99&amp;"__wt",'SegEnds_Xtal_BW#'!$A:$Z,8,FALSE)</f>
        <v>67</v>
      </c>
      <c r="I99" s="4">
        <f>VLOOKUP($B99&amp;"__wt",'SegEnds_Xtal_BW#'!$A:$Z,9,FALSE)</f>
        <v>49</v>
      </c>
      <c r="J99" s="4">
        <f>VLOOKUP($B99&amp;"__wt",'SegEnds_Xtal_BW#'!$A:$Z,10,FALSE)</f>
        <v>52</v>
      </c>
      <c r="K99" s="11">
        <v>18</v>
      </c>
      <c r="L99" s="4">
        <f>VLOOKUP($B99&amp;"__wt",'SegEnds_Xtal_BW#'!$A:$Z,12,FALSE)</f>
        <v>56</v>
      </c>
      <c r="M99" s="4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4">
        <f>VLOOKUP($B99&amp;"__wt",'SegEnds_Xtal_BW#'!$A:$Z,16,FALSE)</f>
        <v>69</v>
      </c>
      <c r="Q99" s="4">
        <f>VLOOKUP($B99&amp;"__wt",'SegEnds_Xtal_BW#'!$A:$Z,17,FALSE)</f>
        <v>50</v>
      </c>
      <c r="R99" s="4">
        <f>VLOOKUP($B99&amp;"__wt",'SegEnds_Xtal_BW#'!$A:$Z,18,FALSE)</f>
        <v>52</v>
      </c>
      <c r="S99" s="1">
        <f>VLOOKUP($B99&amp;"__wt",'SegEnds_Xtal_BW#'!$A:$Z,19,FALSE)</f>
        <v>35</v>
      </c>
      <c r="T99" s="4">
        <f t="array" ref="T99">INDEX(ICL3_classA!$G$2:$G$39,MATCH(MIN(ABS(AI99-ICL3_classA!$F$2:$F$39)),ABS(AI99-ICL3_classA!$F$2:$F$39),0))</f>
        <v>75</v>
      </c>
      <c r="U99" s="4">
        <f t="array" ref="U99">INDEX(ICL3_classA!$H$2:$H$39,MATCH(MIN(ABS(AI99-ICL3_classA!$F$2:$F$39)),ABS(AI99-ICL3_classA!$F$2:$F$39),0))</f>
        <v>24</v>
      </c>
      <c r="V99" s="4">
        <v>61</v>
      </c>
      <c r="W99" s="4">
        <v>31</v>
      </c>
      <c r="X99" s="4">
        <f>VLOOKUP($B99&amp;"__wt",'SegEnds_Xtal_BW#'!$A:$Z,24,FALSE)</f>
        <v>56</v>
      </c>
      <c r="Y99" s="4">
        <f>VLOOKUP($B99&amp;"__wt",'SegEnds_Xtal_BW#'!$A:$Z,25,FALSE)</f>
        <v>47</v>
      </c>
      <c r="Z99" s="4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4">
        <f>VLOOKUP(A99,'SegEnds_NonXtal_Prot#'!A:AL,10,FALSE)-VLOOKUP(A99,'SegEnds_NonXtal_Prot#'!A:AL,7,FALSE)</f>
        <v>15</v>
      </c>
      <c r="AD99" s="4">
        <f>VLOOKUP(A99,'SegEnds_NonXtal_Prot#'!A:AL,13,FALSE)-VLOOKUP(A99,'SegEnds_NonXtal_Prot#'!A:AL,10,FALSE)</f>
        <v>20</v>
      </c>
      <c r="AE99" s="4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4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4">
        <f>VLOOKUP(A99,'SegEnds_NonXtal_Prot#'!A:AL,31,FALSE)-VLOOKUP(A99,'SegEnds_NonXtal_Prot#'!A:AL,28,FALSE)</f>
        <v>263</v>
      </c>
      <c r="AJ99" s="4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149</v>
      </c>
      <c r="B100" s="1" t="str">
        <f>VLOOKUP(A100,Xtal_Templ!A:B,2,FALSE)</f>
        <v>acm4_human</v>
      </c>
      <c r="C100" s="5">
        <f>VLOOKUP($B100&amp;"__wt",'SegEnds_Xtal_BW#'!$A:$Z,3,FALSE)</f>
        <v>26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INDEX(ICL3_classA!$G$2:$G$39,MATCH(MIN(ABS(AI100-ICL3_classA!$F$2:$F$39)),ABS(AI100-ICL3_classA!$F$2:$F$39),0))</f>
        <v>75</v>
      </c>
      <c r="U100" s="1">
        <f t="array" ref="U100">INDEX(ICL3_classA!$H$2:$H$39,MATCH(MIN(ABS(AI100-ICL3_classA!$F$2:$F$39)),ABS(AI100-ICL3_classA!$F$2:$F$39),0))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208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150</v>
      </c>
      <c r="B101" s="1" t="str">
        <f>VLOOKUP(A101,Xtal_Templ!A:B,2,FALSE)</f>
        <v>acm5_human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INDEX(ICL3_classA!$G$2:$G$39,MATCH(MIN(ABS(AI101-ICL3_classA!$F$2:$F$39)),ABS(AI101-ICL3_classA!$F$2:$F$39),0))</f>
        <v>75</v>
      </c>
      <c r="U101" s="1">
        <f t="array" ref="U101">INDEX(ICL3_classA!$H$2:$H$39,MATCH(MIN(ABS(AI101-ICL3_classA!$F$2:$F$39)),ABS(AI101-ICL3_classA!$F$2:$F$39),0))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22</v>
      </c>
      <c r="AH101" s="1">
        <f>VLOOKUP(A101,'SegEnds_NonXtal_Prot#'!A:AL,28,FALSE)-VLOOKUP(A101,'SegEnds_NonXtal_Prot#'!A:AL,22,FALSE)</f>
        <v>50</v>
      </c>
      <c r="AI101" s="1">
        <f>VLOOKUP(A101,'SegEnds_NonXtal_Prot#'!A:AL,31,FALSE)-VLOOKUP(A101,'SegEnds_NonXtal_Prot#'!A:AL,28,FALSE)</f>
        <v>252</v>
      </c>
      <c r="AJ101" s="1">
        <f>VLOOKUP(A101,'SegEnds_NonXtal_Prot#'!A:AL,34,FALSE)-VLOOKUP(A101,'SegEnds_NonXtal_Prot#'!A:AL,31,FALSE)</f>
        <v>35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152</v>
      </c>
      <c r="B102" s="1" t="str">
        <f>VLOOKUP(A102,Xtal_Templ!A:B,2,FALSE)</f>
        <v>ada2b_human</v>
      </c>
      <c r="C102" s="5">
        <f>VLOOKUP($B102&amp;"__wt",'SegEnds_Xtal_BW#'!$A:$Z,3,FALSE)</f>
        <v>31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INDEX(ICL3_classA!$G$2:$G$39,MATCH(MIN(ABS(AI102-ICL3_classA!$F$2:$F$39)),ABS(AI102-ICL3_classA!$F$2:$F$39),0))</f>
        <v>76</v>
      </c>
      <c r="U102" s="1">
        <f t="array" ref="U102">INDEX(ICL3_classA!$H$2:$H$39,MATCH(MIN(ABS(AI102-ICL3_classA!$F$2:$F$39)),ABS(AI102-ICL3_classA!$F$2:$F$39),0))</f>
        <v>24</v>
      </c>
      <c r="V102" s="1">
        <v>61</v>
      </c>
      <c r="W102" s="1">
        <v>31</v>
      </c>
      <c r="X102" s="108"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91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153</v>
      </c>
      <c r="B103" s="1" t="str">
        <f>VLOOKUP(A103,Xtal_Templ!A:B,2,FALSE)</f>
        <v>ada2b_human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INDEX(ICL3_classA!$G$2:$G$39,MATCH(MIN(ABS(AI103-ICL3_classA!$F$2:$F$39)),ABS(AI103-ICL3_classA!$F$2:$F$39),0))</f>
        <v>74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94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154</v>
      </c>
      <c r="B104" s="1" t="str">
        <f>VLOOKUP(A104,Xtal_Templ!A:B,2,FALSE)</f>
        <v>ada2b_human</v>
      </c>
      <c r="C104" s="5">
        <f>VLOOKUP($B104&amp;"__wt",'SegEnds_Xtal_BW#'!$A:$Z,3,FALSE)</f>
        <v>31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INDEX(ICL3_classA!$G$2:$G$39,MATCH(MIN(ABS(AI104-ICL3_classA!$F$2:$F$39)),ABS(AI104-ICL3_classA!$F$2:$F$39),0))</f>
        <v>74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08"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45</v>
      </c>
      <c r="AI104" s="1">
        <f>VLOOKUP(A104,'SegEnds_NonXtal_Prot#'!A:AL,31,FALSE)-VLOOKUP(A104,'SegEnds_NonXtal_Prot#'!A:AL,28,FALSE)</f>
        <v>97</v>
      </c>
      <c r="AJ104" s="1">
        <f>VLOOKUP(A104,'SegEnds_NonXtal_Prot#'!A:AL,34,FALSE)-VLOOKUP(A104,'SegEnds_NonXtal_Prot#'!A:AL,31,FALSE)</f>
        <v>36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155</v>
      </c>
      <c r="B105" s="1" t="str">
        <f>VLOOKUP(A105,Xtal_Templ!A:B,2,FALSE)</f>
        <v>ada2a_human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08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181</v>
      </c>
      <c r="AJ105" s="1">
        <f>VLOOKUP(A105,'SegEnds_NonXtal_Prot#'!A:AL,34,FALSE)-VLOOKUP(A105,'SegEnds_NonXtal_Prot#'!A:AL,31,FALSE)</f>
        <v>34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ada2b_human</v>
      </c>
      <c r="C106" s="5">
        <f>VLOOKUP($B106&amp;"__wt",'SegEnds_Xtal_BW#'!$A:$Z,3,FALSE)</f>
        <v>31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INDEX(ICL3_classA!$G$2:$G$39,MATCH(MIN(ABS(AI106-ICL3_classA!$F$2:$F$39)),ABS(AI106-ICL3_classA!$F$2:$F$39),0))</f>
        <v>75</v>
      </c>
      <c r="U106" s="1">
        <f t="array" ref="U106">INDEX(ICL3_classA!$H$2:$H$39,MATCH(MIN(ABS(AI106-ICL3_classA!$F$2:$F$39)),ABS(AI106-ICL3_classA!$F$2:$F$39),0))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157</v>
      </c>
      <c r="B107" s="1" t="str">
        <f>VLOOKUP(A107,Xtal_Templ!A:B,2,FALSE)</f>
        <v>ada2c_human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08">
        <v>62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125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74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103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NoXtal</v>
      </c>
    </row>
    <row r="109" spans="1:38" x14ac:dyDescent="0.2">
      <c r="A109" s="1" t="s">
        <v>907</v>
      </c>
      <c r="B109" s="1" t="str">
        <f>VLOOKUP(A109,Xtal_Templ!A:B,2,FALSE)</f>
        <v>adrb1_melga</v>
      </c>
      <c r="C109" s="5">
        <f>VLOOKUP($B109&amp;"__wt",'SegEnds_Xtal_BW#'!$A:$Z,3,FALSE)</f>
        <v>24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INDEX(ICL3_classA!$G$2:$G$39,MATCH(MIN(ABS(AI109-ICL3_classA!$F$2:$F$39)),ABS(AI109-ICL3_classA!$F$2:$F$39),0))</f>
        <v>76</v>
      </c>
      <c r="U109" s="1">
        <v>20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86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126</v>
      </c>
      <c r="B110" s="1" t="str">
        <f>VLOOKUP(A110,Xtal_Templ!A:B,2,FALSE)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35</v>
      </c>
      <c r="T110" s="1">
        <f t="array" ref="T110">INDEX(ICL3_classA!$G$2:$G$39,MATCH(MIN(ABS(AI110-ICL3_classA!$F$2:$F$39)),ABS(AI110-ICL3_classA!$F$2:$F$39),0))</f>
        <v>76</v>
      </c>
      <c r="U110" s="1">
        <f t="array" ref="U110">INDEX(ICL3_classA!$H$2:$H$39,MATCH(MIN(ABS(AI110-ICL3_classA!$F$2:$F$39)),ABS(AI110-ICL3_classA!$F$2:$F$39),0))</f>
        <v>24</v>
      </c>
      <c r="V110" s="1">
        <v>61</v>
      </c>
      <c r="W110" s="1">
        <v>31</v>
      </c>
      <c r="X110" s="1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53</v>
      </c>
      <c r="AI110" s="1">
        <f>VLOOKUP(A110,'SegEnds_NonXtal_Prot#'!A:AL,31,FALSE)-VLOOKUP(A110,'SegEnds_NonXtal_Prot#'!A:AL,28,FALSE)</f>
        <v>77</v>
      </c>
      <c r="AJ110" s="1">
        <f>VLOOKUP(A110,'SegEnds_NonXtal_Prot#'!A:AL,34,FALSE)-VLOOKUP(A110,'SegEnds_NonXtal_Prot#'!A:AL,31,FALSE)</f>
        <v>35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Xtal</v>
      </c>
    </row>
    <row r="111" spans="1:38" x14ac:dyDescent="0.2">
      <c r="A111" s="1" t="s">
        <v>102</v>
      </c>
      <c r="B111" s="1" t="str">
        <f>VLOOKUP(A111,Xtal_Templ!A:B,2,FALSE)</f>
        <v>adrb2_human</v>
      </c>
      <c r="C111" s="5">
        <f>VLOOKUP($B111&amp;"__wt",'SegEnds_Xtal_BW#'!$A:$Z,3,FALSE)</f>
        <v>25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INDEX(ICL3_classA!$G$2:$G$39,MATCH(MIN(ABS(AI111-ICL3_classA!$F$2:$F$39)),ABS(AI111-ICL3_classA!$F$2:$F$39),0))</f>
        <v>76</v>
      </c>
      <c r="U111" s="1">
        <f t="array" ref="U111">INDEX(ICL3_classA!$H$2:$H$39,MATCH(MIN(ABS(AI111-ICL3_classA!$F$2:$F$39)),ABS(AI111-ICL3_classA!$F$2:$F$39),0))</f>
        <v>24</v>
      </c>
      <c r="V111" s="1">
        <v>61</v>
      </c>
      <c r="W111" s="1">
        <v>31</v>
      </c>
      <c r="X111" s="123">
        <f>VLOOKUP($B111&amp;"__wt",'SegEnds_Xtal_BW#'!$A:$Z,24,FALSE)</f>
        <v>55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20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91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9</v>
      </c>
      <c r="AL111" s="1" t="str">
        <f>IF(ISERROR(MATCH(A111,'SegEnds_Xtal_Prot#'!B:B, 0)), "NoXtal", "Xtal")</f>
        <v>NoXtal</v>
      </c>
    </row>
    <row r="112" spans="1:38" x14ac:dyDescent="0.2">
      <c r="A112" s="1" t="s">
        <v>158</v>
      </c>
      <c r="B112" s="1" t="str">
        <f>VLOOKUP(A112,Xtal_Templ!A:B,2,FALSE)</f>
        <v>agtr1_human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34</v>
      </c>
      <c r="T112" s="1">
        <f t="array" ref="T112">INDEX(ICL3_classA!$G$2:$G$39,MATCH(MIN(ABS(AI112-ICL3_classA!$F$2:$F$39)),ABS(AI112-ICL3_classA!$F$2:$F$39),0))</f>
        <v>68</v>
      </c>
      <c r="U112" s="1">
        <f t="array" ref="U112">INDEX(ICL3_classA!$H$2:$H$39,MATCH(MIN(ABS(AI112-ICL3_classA!$F$2:$F$39)),ABS(AI112-ICL3_classA!$F$2:$F$39),0))</f>
        <v>24</v>
      </c>
      <c r="V112" s="1">
        <v>64</v>
      </c>
      <c r="W112" s="1">
        <v>24</v>
      </c>
      <c r="X112" s="123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27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159</v>
      </c>
      <c r="B113" s="1" t="str">
        <f>VLOOKUP(A113,Xtal_Templ!A:B,2,FALSE)</f>
        <v>agtr2_human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38</v>
      </c>
      <c r="H113" s="12">
        <f>VLOOKUP($B113&amp;"__wt",'SegEnds_Xtal_BW#'!$A:$Z,8,FALSE)</f>
        <v>66</v>
      </c>
      <c r="I113" s="1">
        <f>VLOOKUP($B113&amp;"__wt",'SegEnds_Xtal_BW#'!$A:$Z,9,FALSE)</f>
        <v>47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INDEX(ICL3_classA!$G$2:$G$39,MATCH(MIN(ABS(AI113-ICL3_classA!$F$2:$F$39)),ABS(AI113-ICL3_classA!$F$2:$F$39),0))</f>
        <v>68</v>
      </c>
      <c r="U113" s="1">
        <f t="array" ref="U113">INDEX(ICL3_classA!$H$2:$H$39,MATCH(MIN(ABS(AI113-ICL3_classA!$F$2:$F$39)),ABS(AI113-ICL3_classA!$F$2:$F$39),0))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19</v>
      </c>
      <c r="AG113" s="1">
        <f>VLOOKUP(A113,'SegEnds_NonXtal_Prot#'!A:AL,28,FALSE)-VLOOKUP(A113,'SegEnds_NonXtal_Prot#'!A:AL,25,FALSE)</f>
        <v>28</v>
      </c>
      <c r="AH113" s="1">
        <f>VLOOKUP(A113,'SegEnds_NonXtal_Prot#'!A:AL,28,FALSE)-VLOOKUP(A113,'SegEnds_NonXtal_Prot#'!A:AL,22,FALSE)</f>
        <v>55</v>
      </c>
      <c r="AI113" s="1">
        <f>VLOOKUP(A113,'SegEnds_NonXtal_Prot#'!A:AL,31,FALSE)-VLOOKUP(A113,'SegEnds_NonXtal_Prot#'!A:AL,28,FALSE)</f>
        <v>48</v>
      </c>
      <c r="AJ113" s="1">
        <f>VLOOKUP(A113,'SegEnds_NonXtal_Prot#'!A:AL,34,FALSE)-VLOOKUP(A113,'SegEnds_NonXtal_Prot#'!A:AL,31,FALSE)</f>
        <v>44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160</v>
      </c>
      <c r="B114" s="1" t="str">
        <f>VLOOKUP(A114,Xtal_Templ!A:B,2,FALSE)</f>
        <v>apj_human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52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INDEX(ICL3_classA!$G$2:$G$39,MATCH(MIN(ABS(AI114-ICL3_classA!$F$2:$F$39)),ABS(AI114-ICL3_classA!$F$2:$F$39),0))</f>
        <v>72</v>
      </c>
      <c r="U114" s="1">
        <f t="array" ref="U114">INDEX(ICL3_classA!$H$2:$H$39,MATCH(MIN(ABS(AI114-ICL3_classA!$F$2:$F$39)),ABS(AI114-ICL3_classA!$F$2:$F$39),0))</f>
        <v>29</v>
      </c>
      <c r="V114" s="108">
        <v>63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>
        <f>VLOOKUP(A114,'SegEnds_NonXtal_Prot#'!A:AL,10,FALSE)-VLOOKUP(A114,'SegEnds_NonXtal_Prot#'!A:AL,7,FALSE)</f>
        <v>16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32</v>
      </c>
      <c r="AH114" s="1">
        <f>VLOOKUP(A114,'SegEnds_NonXtal_Prot#'!A:AL,28,FALSE)-VLOOKUP(A114,'SegEnds_NonXtal_Prot#'!A:AL,22,FALSE)</f>
        <v>59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43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161</v>
      </c>
      <c r="B115" s="1" t="str">
        <f>VLOOKUP(A115,Xtal_Templ!A:B,2,FALSE)</f>
        <v>agtr1_human</v>
      </c>
      <c r="C115" s="5">
        <f>VLOOKUP($B115&amp;"__wt",'SegEnds_Xtal_BW#'!$A:$Z,3,FALSE)</f>
        <v>28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34</v>
      </c>
      <c r="T115" s="1">
        <f t="array" ref="T115">INDEX(ICL3_classA!$G$2:$G$39,MATCH(MIN(ABS(AI115-ICL3_classA!$F$2:$F$39)),ABS(AI115-ICL3_classA!$F$2:$F$39),0))</f>
        <v>68</v>
      </c>
      <c r="U115" s="1">
        <f t="array" ref="U115">INDEX(ICL3_classA!$H$2:$H$39,MATCH(MIN(ABS(AI115-ICL3_classA!$F$2:$F$39)),ABS(AI115-ICL3_classA!$F$2:$F$39),0))</f>
        <v>23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52</v>
      </c>
      <c r="AI115" s="1">
        <f>VLOOKUP(A115,'SegEnds_NonXtal_Prot#'!A:AL,31,FALSE)-VLOOKUP(A115,'SegEnds_NonXtal_Prot#'!A:AL,28,FALSE)</f>
        <v>51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162</v>
      </c>
      <c r="B116" s="1" t="str">
        <f>VLOOKUP(A116,Xtal_Templ!A:B,2,FALSE)</f>
        <v>agtr2_human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47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INDEX(ICL3_classA!$G$2:$G$39,MATCH(MIN(ABS(AI116-ICL3_classA!$F$2:$F$39)),ABS(AI116-ICL3_classA!$F$2:$F$39),0))</f>
        <v>68</v>
      </c>
      <c r="U116" s="1">
        <f t="array" ref="U116">INDEX(ICL3_classA!$H$2:$H$39,MATCH(MIN(ABS(AI116-ICL3_classA!$F$2:$F$39)),ABS(AI116-ICL3_classA!$F$2:$F$39),0))</f>
        <v>24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54</v>
      </c>
      <c r="AI116" s="1">
        <f>VLOOKUP(A116,'SegEnds_NonXtal_Prot#'!A:AL,31,FALSE)-VLOOKUP(A116,'SegEnds_NonXtal_Prot#'!A:AL,28,FALSE)</f>
        <v>49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163</v>
      </c>
      <c r="B117" s="1" t="str">
        <f>VLOOKUP(A117,Xtal_Templ!A:B,2,FALSE)</f>
        <v>ednrb_human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52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28</v>
      </c>
      <c r="T117" s="1">
        <f t="array" ref="T117">INDEX(ICL3_classA!$G$2:$G$39,MATCH(MIN(ABS(AI117-ICL3_classA!$F$2:$F$39)),ABS(AI117-ICL3_classA!$F$2:$F$39),0))</f>
        <v>73</v>
      </c>
      <c r="U117" s="1">
        <f t="array" ref="U117">INDEX(ICL3_classA!$H$2:$H$39,MATCH(MIN(ABS(AI117-ICL3_classA!$F$2:$F$39)),ABS(AI117-ICL3_classA!$F$2:$F$39),0))</f>
        <v>22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26</v>
      </c>
      <c r="AH117" s="1">
        <f>VLOOKUP(A117,'SegEnds_NonXtal_Prot#'!A:AL,28,FALSE)-VLOOKUP(A117,'SegEnds_NonXtal_Prot#'!A:AL,22,FALSE)</f>
        <v>57</v>
      </c>
      <c r="AI117" s="1">
        <f>VLOOKUP(A117,'SegEnds_NonXtal_Prot#'!A:AL,31,FALSE)-VLOOKUP(A117,'SegEnds_NonXtal_Prot#'!A:AL,28,FALSE)</f>
        <v>57</v>
      </c>
      <c r="AJ117" s="1">
        <f>VLOOKUP(A117,'SegEnds_NonXtal_Prot#'!A:AL,34,FALSE)-VLOOKUP(A117,'SegEnds_NonXtal_Prot#'!A:AL,31,FALSE)</f>
        <v>41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164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INDEX(ICL3_classA!$G$2:$G$39,MATCH(MIN(ABS(AI118-ICL3_classA!$F$2:$F$39)),ABS(AI118-ICL3_classA!$F$2:$F$39),0))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176</v>
      </c>
      <c r="AH118" s="1">
        <f>VLOOKUP(A118,'SegEnds_NonXtal_Prot#'!A:AL,28,FALSE)-VLOOKUP(A118,'SegEnds_NonXtal_Prot#'!A:AL,22,FALSE)</f>
        <v>201</v>
      </c>
      <c r="AI118" s="1">
        <f>VLOOKUP(A118,'SegEnds_NonXtal_Prot#'!A:AL,31,FALSE)-VLOOKUP(A118,'SegEnds_NonXtal_Prot#'!A:AL,28,FALSE)</f>
        <v>44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165</v>
      </c>
      <c r="B119" s="1" t="str">
        <f>VLOOKUP(A119,Xtal_Templ!A:B,2,FALSE)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INDEX(ICL3_classA!$G$2:$G$39,MATCH(MIN(ABS(AI119-ICL3_classA!$F$2:$F$39)),ABS(AI119-ICL3_classA!$F$2:$F$39),0))</f>
        <v>68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43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166</v>
      </c>
      <c r="B120" s="1" t="str">
        <f>VLOOKUP(A120,Xtal_Templ!A:B,2,FALSE)</f>
        <v>c5ar1_human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31</v>
      </c>
      <c r="T120" s="1">
        <f t="array" ref="T120">INDEX(ICL3_classA!$G$2:$G$39,MATCH(MIN(ABS(AI120-ICL3_classA!$F$2:$F$39)),ABS(AI120-ICL3_classA!$F$2:$F$39),0))</f>
        <v>64</v>
      </c>
      <c r="U120" s="108">
        <v>31</v>
      </c>
      <c r="V120" s="1">
        <v>61</v>
      </c>
      <c r="W120" s="108">
        <v>25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56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36</v>
      </c>
      <c r="AJ120" s="1">
        <f>VLOOKUP(A120,'SegEnds_NonXtal_Prot#'!A:AL,34,FALSE)-VLOOKUP(A120,'SegEnds_NonXtal_Prot#'!A:AL,31,FALSE)</f>
        <v>40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167</v>
      </c>
      <c r="B121" s="1" t="str">
        <f>VLOOKUP(A121,Xtal_Templ!A:B,2,FALSE)</f>
        <v>ox1r_human</v>
      </c>
      <c r="C121" s="5">
        <f>VLOOKUP($B121&amp;"__wt",'SegEnds_Xtal_BW#'!$A:$Z,3,FALSE)</f>
        <v>32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74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28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55</v>
      </c>
      <c r="AI121" s="1">
        <f>VLOOKUP(A121,'SegEnds_NonXtal_Prot#'!A:AL,31,FALSE)-VLOOKUP(A121,'SegEnds_NonXtal_Prot#'!A:AL,28,FALSE)</f>
        <v>107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179</v>
      </c>
      <c r="B122" s="1" t="str">
        <f>VLOOKUP(A122,Xtal_Templ!A:B,2,FALSE)</f>
        <v>cltr1_human</v>
      </c>
      <c r="C122" s="5">
        <f>VLOOKUP($B122&amp;"__wt",'SegEnds_Xtal_BW#'!$A:$Z,3,FALSE)</f>
        <v>20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28</v>
      </c>
      <c r="T122" s="1">
        <f t="array" ref="T122">INDEX(ICL3_classA!$G$2:$G$39,MATCH(MIN(ABS(AI122-ICL3_classA!$F$2:$F$39)),ABS(AI122-ICL3_classA!$F$2:$F$39),0))</f>
        <v>67</v>
      </c>
      <c r="U122" s="1">
        <f t="array" ref="U122">INDEX(ICL3_classA!$H$2:$H$39,MATCH(MIN(ABS(AI122-ICL3_classA!$F$2:$F$39)),ABS(AI122-ICL3_classA!$F$2:$F$39),0))</f>
        <v>26</v>
      </c>
      <c r="V122" s="1">
        <v>64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47</v>
      </c>
      <c r="AJ122" s="1">
        <f>VLOOKUP(A122,'SegEnds_NonXtal_Prot#'!A:AL,34,FALSE)-VLOOKUP(A122,'SegEnds_NonXtal_Prot#'!A:AL,31,FALSE)</f>
        <v>44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Xtal</v>
      </c>
    </row>
    <row r="123" spans="1:38" x14ac:dyDescent="0.2">
      <c r="A123" s="1" t="s">
        <v>180</v>
      </c>
      <c r="B123" s="1" t="str">
        <f>VLOOKUP(A123,Xtal_Templ!A:B,2,FALSE)</f>
        <v>cltr2_human</v>
      </c>
      <c r="C123" s="5">
        <f>VLOOKUP($B123&amp;"__wt",'SegEnds_Xtal_BW#'!$A:$Z,3,FALSE)</f>
        <v>25</v>
      </c>
      <c r="D123" s="1">
        <f>VLOOKUP($B123&amp;"__wt",'SegEnds_Xtal_BW#'!$A:$Z,4,FALSE)</f>
        <v>60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INDEX(ICL3_classA!$G$2:$G$39,MATCH(MIN(ABS(AI123-ICL3_classA!$F$2:$F$39)),ABS(AI123-ICL3_classA!$F$2:$F$39),0))</f>
        <v>68</v>
      </c>
      <c r="U123" s="1">
        <f t="array" ref="U123">INDEX(ICL3_classA!$H$2:$H$39,MATCH(MIN(ABS(AI123-ICL3_classA!$F$2:$F$39)),ABS(AI123-ICL3_classA!$F$2:$F$39),0))</f>
        <v>24</v>
      </c>
      <c r="V123" s="1">
        <f>VLOOKUP($B123&amp;"__wt",'SegEnds_Xtal_BW#'!$A:$Z,22,FALSE)</f>
        <v>62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26</v>
      </c>
      <c r="AH123" s="1">
        <f>VLOOKUP(A123,'SegEnds_NonXtal_Prot#'!A:AL,28,FALSE)-VLOOKUP(A123,'SegEnds_NonXtal_Prot#'!A:AL,22,FALSE)</f>
        <v>50</v>
      </c>
      <c r="AI123" s="1">
        <f>VLOOKUP(A123,'SegEnds_NonXtal_Prot#'!A:AL,31,FALSE)-VLOOKUP(A123,'SegEnds_NonXtal_Prot#'!A:AL,28,FALSE)</f>
        <v>49</v>
      </c>
      <c r="AJ123" s="1">
        <f>VLOOKUP(A123,'SegEnds_NonXtal_Prot#'!A:AL,34,FALSE)-VLOOKUP(A123,'SegEnds_NonXtal_Prot#'!A:AL,31,FALSE)</f>
        <v>40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Xtal</v>
      </c>
    </row>
    <row r="124" spans="1:38" x14ac:dyDescent="0.2">
      <c r="A124" s="1" t="s">
        <v>181</v>
      </c>
      <c r="B124" s="1" t="str">
        <f>VLOOKUP(A124,Xtal_Templ!A:B,2,FALSE)</f>
        <v>fpr2_human</v>
      </c>
      <c r="C124" s="5">
        <f>VLOOKUP($B124&amp;"__wt",'SegEnds_Xtal_BW#'!$A:$Z,3,FALSE)</f>
        <v>25</v>
      </c>
      <c r="D124" s="1">
        <f>VLOOKUP($B124&amp;"__wt",'SegEnds_Xtal_BW#'!$A:$Z,4,FALSE)</f>
        <v>61</v>
      </c>
      <c r="E124" s="1" t="str">
        <f>VLOOKUP($B124&amp;"__wt",'SegEnds_Xtal_BW#'!$A:$Z,5,FALSE)</f>
        <v>-</v>
      </c>
      <c r="F124" s="1" t="str">
        <f>VLOOKUP($B124&amp;"__wt",'SegEnds_Xtal_BW#'!$A:$Z,6,FALSE)</f>
        <v>-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23</v>
      </c>
      <c r="T124" s="1">
        <f t="array" ref="T124">INDEX(ICL3_classA!$G$2:$G$39,MATCH(MIN(ABS(AI124-ICL3_classA!$F$2:$F$39)),ABS(AI124-ICL3_classA!$F$2:$F$39),0))</f>
        <v>68</v>
      </c>
      <c r="U124" s="1">
        <f t="array" ref="U124">INDEX(ICL3_classA!$H$2:$H$39,MATCH(MIN(ABS(AI124-ICL3_classA!$F$2:$F$39)),ABS(AI124-ICL3_classA!$F$2:$F$39),0))</f>
        <v>30</v>
      </c>
      <c r="V124" s="1">
        <v>61</v>
      </c>
      <c r="W124" s="108">
        <v>25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58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27</v>
      </c>
      <c r="AC124" s="1" t="e">
        <f>VLOOKUP(A124,'SegEnds_NonXtal_Prot#'!A:AL,10,FALSE)-VLOOKUP(A124,'SegEnds_NonXtal_Prot#'!A:AL,7,FALSE)</f>
        <v>#VALUE!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43</v>
      </c>
      <c r="AH124" s="1">
        <f>VLOOKUP(A124,'SegEnds_NonXtal_Prot#'!A:AL,28,FALSE)-VLOOKUP(A124,'SegEnds_NonXtal_Prot#'!A:AL,22,FALSE)</f>
        <v>68</v>
      </c>
      <c r="AI124" s="1">
        <f>VLOOKUP(A124,'SegEnds_NonXtal_Prot#'!A:AL,31,FALSE)-VLOOKUP(A124,'SegEnds_NonXtal_Prot#'!A:AL,28,FALSE)</f>
        <v>43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191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35</v>
      </c>
      <c r="T125" s="1">
        <f t="array" ref="T125">INDEX(ICL3_classA!$G$2:$G$39,MATCH(MIN(ABS(AI125-ICL3_classA!$F$2:$F$39)),ABS(AI125-ICL3_classA!$F$2:$F$39),0))</f>
        <v>75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"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21</v>
      </c>
      <c r="AG125" s="1">
        <f>VLOOKUP(A125,'SegEnds_NonXtal_Prot#'!A:AL,28,FALSE)-VLOOKUP(A125,'SegEnds_NonXtal_Prot#'!A:AL,25,FALSE)</f>
        <v>19</v>
      </c>
      <c r="AH125" s="1">
        <f>VLOOKUP(A125,'SegEnds_NonXtal_Prot#'!A:AL,28,FALSE)-VLOOKUP(A125,'SegEnds_NonXtal_Prot#'!A:AL,22,FALSE)</f>
        <v>41</v>
      </c>
      <c r="AI125" s="1">
        <f>VLOOKUP(A125,'SegEnds_NonXtal_Prot#'!A:AL,31,FALSE)-VLOOKUP(A125,'SegEnds_NonXtal_Prot#'!A:AL,28,FALSE)</f>
        <v>187</v>
      </c>
      <c r="AJ125" s="1">
        <f>VLOOKUP(A125,'SegEnds_NonXtal_Prot#'!A:AL,34,FALSE)-VLOOKUP(A125,'SegEnds_NonXtal_Prot#'!A:AL,31,FALSE)</f>
        <v>35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196</v>
      </c>
      <c r="B126" s="1" t="str">
        <f>VLOOKUP(A126,Xtal_Templ!A:B,2,FALSE)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38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INDEX(ICL3_classA!$G$2:$G$39,MATCH(MIN(ABS(AI126-ICL3_classA!$F$2:$F$39)),ABS(AI126-ICL3_classA!$F$2:$F$39),0))</f>
        <v>72</v>
      </c>
      <c r="U126" s="1">
        <f t="array" ref="U126">INDEX(ICL3_classA!$H$2:$H$39,MATCH(MIN(ABS(AI126-ICL3_classA!$F$2:$F$39)),ABS(AI126-ICL3_classA!$F$2:$F$39),0))</f>
        <v>24</v>
      </c>
      <c r="V126" s="1">
        <v>62</v>
      </c>
      <c r="W126" s="1">
        <v>24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30</v>
      </c>
      <c r="AH126" s="1">
        <f>VLOOKUP(A126,'SegEnds_NonXtal_Prot#'!A:AL,28,FALSE)-VLOOKUP(A126,'SegEnds_NonXtal_Prot#'!A:AL,22,FALSE)</f>
        <v>59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45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Xtal</v>
      </c>
    </row>
    <row r="127" spans="1:38" x14ac:dyDescent="0.2">
      <c r="A127" s="1" t="s">
        <v>1168</v>
      </c>
      <c r="B127" s="1" t="str">
        <f>VLOOKUP(A127,Xtal_Templ!A:B,2,FALSE)</f>
        <v>ffar1_human</v>
      </c>
      <c r="C127" s="5">
        <f>VLOOKUP($B127&amp;"__wt",'SegEnds_Xtal_BW#'!$A:$Z,3,FALSE)</f>
        <v>31</v>
      </c>
      <c r="D127" s="1">
        <f>VLOOKUP($B127&amp;"__wt",'SegEnds_Xtal_BW#'!$A:$Z,4,FALSE)</f>
        <v>64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f>VLOOKUP($B127&amp;"__wt",'SegEnds_Xtal_BW#'!$A:$Z,14,FALSE)</f>
        <v>57</v>
      </c>
      <c r="O127" s="87">
        <f>VLOOKUP($B127&amp;"__wt",'SegEnds_Xtal_BW#'!$A:$Z,15,FALSE)</f>
        <v>38</v>
      </c>
      <c r="P127" s="1">
        <f>VLOOKUP($B127&amp;"__wt",'SegEnds_Xtal_BW#'!$A:$Z,16,FALSE)</f>
        <v>65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INDEX(ICL3_classA!$G$2:$G$39,MATCH(MIN(ABS(AI127-ICL3_classA!$F$2:$F$39)),ABS(AI127-ICL3_classA!$F$2:$F$39),0))</f>
        <v>67</v>
      </c>
      <c r="U127" s="1">
        <f t="array" ref="U127">INDEX(ICL3_classA!$H$2:$H$39,MATCH(MIN(ABS(AI127-ICL3_classA!$F$2:$F$39)),ABS(AI127-ICL3_classA!$F$2:$F$39),0))</f>
        <v>28</v>
      </c>
      <c r="V127" s="1">
        <v>61</v>
      </c>
      <c r="W127" s="1">
        <v>32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24</v>
      </c>
      <c r="AH127" s="1">
        <f>VLOOKUP(A127,'SegEnds_NonXtal_Prot#'!A:AL,28,FALSE)-VLOOKUP(A127,'SegEnds_NonXtal_Prot#'!A:AL,22,FALSE)</f>
        <v>63</v>
      </c>
      <c r="AI127" s="1">
        <f>VLOOKUP(A127,'SegEnds_NonXtal_Prot#'!A:AL,31,FALSE)-VLOOKUP(A127,'SegEnds_NonXtal_Prot#'!A:AL,28,FALSE)</f>
        <v>45</v>
      </c>
      <c r="AJ127" s="1">
        <f>VLOOKUP(A127,'SegEnds_NonXtal_Prot#'!A:AL,34,FALSE)-VLOOKUP(A127,'SegEnds_NonXtal_Prot#'!A:AL,31,FALSE)</f>
        <v>34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Xtal</v>
      </c>
    </row>
    <row r="128" spans="1:38" x14ac:dyDescent="0.2">
      <c r="A128" s="1" t="s">
        <v>197</v>
      </c>
      <c r="B128" s="1" t="str">
        <f>VLOOKUP(A128,Xtal_Templ!A:B,2,FALSE)</f>
        <v>par2_human</v>
      </c>
      <c r="C128" s="5">
        <f>VLOOKUP($B128&amp;"__wt",'SegEnds_Xtal_BW#'!$A:$Z,3,FALSE)</f>
        <v>28</v>
      </c>
      <c r="D128" s="1">
        <f>VLOOKUP($B128&amp;"__wt",'SegEnds_Xtal_BW#'!$A:$Z,4,FALSE)</f>
        <v>60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47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62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67</v>
      </c>
      <c r="U128" s="1">
        <f t="array" ref="U128">INDEX(ICL3_classA!$H$2:$H$39,MATCH(MIN(ABS(AI128-ICL3_classA!$F$2:$F$39)),ABS(AI128-ICL3_classA!$F$2:$F$39),0))</f>
        <v>26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30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57</v>
      </c>
      <c r="AI128" s="1">
        <f>VLOOKUP(A128,'SegEnds_NonXtal_Prot#'!A:AL,31,FALSE)-VLOOKUP(A128,'SegEnds_NonXtal_Prot#'!A:AL,28,FALSE)</f>
        <v>46</v>
      </c>
      <c r="AJ128" s="1">
        <f>VLOOKUP(A128,'SegEnds_NonXtal_Prot#'!A:AL,34,FALSE)-VLOOKUP(A128,'SegEnds_NonXtal_Prot#'!A:AL,31,FALSE)</f>
        <v>33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198</v>
      </c>
      <c r="B129" s="1" t="str">
        <f>VLOOKUP(A129,Xtal_Templ!A:B,2,FALSE)</f>
        <v>par1_human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INDEX(ICL3_classA!$G$2:$G$39,MATCH(MIN(ABS(AI129-ICL3_classA!$F$2:$F$39)),ABS(AI129-ICL3_classA!$F$2:$F$39),0))</f>
        <v>68</v>
      </c>
      <c r="U129" s="1">
        <f t="array" ref="U129">INDEX(ICL3_classA!$H$2:$H$39,MATCH(MIN(ABS(AI129-ICL3_classA!$F$2:$F$39)),ABS(AI129-ICL3_classA!$F$2:$F$39),0))</f>
        <v>28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29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56</v>
      </c>
      <c r="AI129" s="1">
        <f>VLOOKUP(A129,'SegEnds_NonXtal_Prot#'!A:AL,31,FALSE)-VLOOKUP(A129,'SegEnds_NonXtal_Prot#'!A:AL,28,FALSE)</f>
        <v>44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200</v>
      </c>
      <c r="B130" s="1" t="str">
        <f>VLOOKUP(A130,Xtal_Templ!A:B,2,FALSE)</f>
        <v>fpr2_human</v>
      </c>
      <c r="C130" s="5">
        <f>VLOOKUP($B130&amp;"__wt",'SegEnds_Xtal_BW#'!$A:$Z,3,FALSE)</f>
        <v>25</v>
      </c>
      <c r="D130" s="1">
        <f>VLOOKUP($B130&amp;"__wt",'SegEnds_Xtal_BW#'!$A:$Z,4,FALSE)</f>
        <v>61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23</v>
      </c>
      <c r="T130" s="1">
        <f t="array" ref="T130">INDEX(ICL3_classA!$G$2:$G$39,MATCH(MIN(ABS(AI130-ICL3_classA!$F$2:$F$39)),ABS(AI130-ICL3_classA!$F$2:$F$39),0))</f>
        <v>68</v>
      </c>
      <c r="U130" s="1">
        <f t="array" ref="U130">INDEX(ICL3_classA!$H$2:$H$39,MATCH(MIN(ABS(AI130-ICL3_classA!$F$2:$F$39)),ABS(AI130-ICL3_classA!$F$2:$F$39),0))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58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37</v>
      </c>
      <c r="AH130" s="1">
        <f>VLOOKUP(A130,'SegEnds_NonXtal_Prot#'!A:AL,28,FALSE)-VLOOKUP(A130,'SegEnds_NonXtal_Prot#'!A:AL,22,FALSE)</f>
        <v>63</v>
      </c>
      <c r="AI130" s="1">
        <f>VLOOKUP(A130,'SegEnds_NonXtal_Prot#'!A:AL,31,FALSE)-VLOOKUP(A130,'SegEnds_NonXtal_Prot#'!A:AL,28,FALSE)</f>
        <v>43</v>
      </c>
      <c r="AJ130" s="1">
        <f>VLOOKUP(A130,'SegEnds_NonXtal_Prot#'!A:AL,34,FALSE)-VLOOKUP(A130,'SegEnds_NonXtal_Prot#'!A:AL,31,FALSE)</f>
        <v>42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201</v>
      </c>
      <c r="B131" s="1" t="str">
        <f>VLOOKUP(A131,Xtal_Templ!A:B,2,FALSE)</f>
        <v>fpr2_human</v>
      </c>
      <c r="C131" s="5">
        <f>VLOOKUP($B131&amp;"__wt",'SegEnds_Xtal_BW#'!$A:$Z,3,FALSE)</f>
        <v>25</v>
      </c>
      <c r="D131" s="1">
        <f>VLOOKUP($B131&amp;"__wt",'SegEnds_Xtal_BW#'!$A:$Z,4,FALSE)</f>
        <v>61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23</v>
      </c>
      <c r="T131" s="108">
        <v>69</v>
      </c>
      <c r="U131" s="108">
        <v>31</v>
      </c>
      <c r="V131" s="1">
        <v>61</v>
      </c>
      <c r="W131" s="108">
        <f>VLOOKUP($B131&amp;"__wt",'SegEnds_Xtal_BW#'!$A:$Z,23,FALSE)</f>
        <v>28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43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Xtal</v>
      </c>
    </row>
    <row r="132" spans="1:38" x14ac:dyDescent="0.2">
      <c r="A132" s="1" t="s">
        <v>202</v>
      </c>
      <c r="B132" s="1" t="str">
        <f>VLOOKUP(A132,Xtal_Templ!A:B,2,FALSE)</f>
        <v>fpr2_human</v>
      </c>
      <c r="C132" s="5">
        <f>VLOOKUP($B132&amp;"__wt",'SegEnds_Xtal_BW#'!$A:$Z,3,FALSE)</f>
        <v>25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23</v>
      </c>
      <c r="T132" s="1">
        <f t="array" ref="T132">INDEX(ICL3_classA!$G$2:$G$39,MATCH(MIN(ABS(AI132-ICL3_classA!$F$2:$F$39)),ABS(AI132-ICL3_classA!$F$2:$F$39),0))</f>
        <v>68</v>
      </c>
      <c r="U132" s="1">
        <f t="array" ref="U132">INDEX(ICL3_classA!$H$2:$H$39,MATCH(MIN(ABS(AI132-ICL3_classA!$F$2:$F$39)),ABS(AI132-ICL3_classA!$F$2:$F$39),0))</f>
        <v>30</v>
      </c>
      <c r="V132" s="1">
        <v>61</v>
      </c>
      <c r="W132" s="1">
        <v>24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3" t="s">
        <v>1692</v>
      </c>
      <c r="B133" s="1" t="str">
        <f>VLOOKUP(A133,Xtal_Templ!A:B,2,FALSE)</f>
        <v>ednrb_human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52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28</v>
      </c>
      <c r="T133" s="1">
        <f t="array" ref="T133">INDEX(ICL3_classA!$G$2:$G$39,MATCH(MIN(ABS(AI133-ICL3_classA!$F$2:$F$39)),ABS(AI133-ICL3_classA!$F$2:$F$39),0))</f>
        <v>72</v>
      </c>
      <c r="U133" s="1">
        <f t="array" ref="U133">INDEX(ICL3_classA!$H$2:$H$39,MATCH(MIN(ABS(AI133-ICL3_classA!$F$2:$F$39)),ABS(AI133-ICL3_classA!$F$2:$F$39),0))</f>
        <v>24</v>
      </c>
      <c r="V133" s="1">
        <v>61</v>
      </c>
      <c r="W133" s="128">
        <f>VLOOKUP($B133&amp;"__wt",'SegEnds_Xtal_BW#'!$A:$Z,23,FALSE)</f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35</v>
      </c>
      <c r="AH133" s="1">
        <f>VLOOKUP(A133,'SegEnds_NonXtal_Prot#'!A:AL,28,FALSE)-VLOOKUP(A133,'SegEnds_NonXtal_Prot#'!A:AL,22,FALSE)</f>
        <v>65</v>
      </c>
      <c r="AI133" s="1">
        <f>VLOOKUP(A133,'SegEnds_NonXtal_Prot#'!A:AL,31,FALSE)-VLOOKUP(A133,'SegEnds_NonXtal_Prot#'!A:AL,28,FALSE)</f>
        <v>53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204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INDEX(ICL3_classA!$G$2:$G$39,MATCH(MIN(ABS(AI134-ICL3_classA!$F$2:$F$39)),ABS(AI134-ICL3_classA!$F$2:$F$39),0))</f>
        <v>72</v>
      </c>
      <c r="U134" s="1">
        <f t="array" ref="U134">INDEX(ICL3_classA!$H$2:$H$39,MATCH(MIN(ABS(AI134-ICL3_classA!$F$2:$F$39)),ABS(AI134-ICL3_classA!$F$2:$F$39),0))</f>
        <v>29</v>
      </c>
      <c r="V134" s="1">
        <v>61</v>
      </c>
      <c r="W134" s="128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30</v>
      </c>
      <c r="AC134" s="1" t="e">
        <f>VLOOKUP(A134,'SegEnds_NonXtal_Prot#'!A:AL,10,FALSE)-VLOOKUP(A134,'SegEnds_NonXtal_Prot#'!A:AL,7,FALSE)</f>
        <v>#VALUE!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50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205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INDEX(ICL3_classA!$G$2:$G$39,MATCH(MIN(ABS(AI135-ICL3_classA!$F$2:$F$39)),ABS(AI135-ICL3_classA!$F$2:$F$39),0))</f>
        <v>72</v>
      </c>
      <c r="U135" s="1">
        <f t="array" ref="U135">INDEX(ICL3_classA!$H$2:$H$39,MATCH(MIN(ABS(AI135-ICL3_classA!$F$2:$F$39)),ABS(AI135-ICL3_classA!$F$2:$F$39),0))</f>
        <v>23</v>
      </c>
      <c r="V135" s="1">
        <v>61</v>
      </c>
      <c r="W135" s="128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52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206</v>
      </c>
      <c r="B136" s="1" t="str">
        <f>VLOOKUP(A136,Xtal_Templ!A:B,2,FALSE)</f>
        <v>oprk_human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72</v>
      </c>
      <c r="U136" s="1">
        <f t="array" ref="U136">INDEX(ICL3_classA!$H$2:$H$39,MATCH(MIN(ABS(AI136-ICL3_classA!$F$2:$F$39)),ABS(AI136-ICL3_classA!$F$2:$F$39),0))</f>
        <v>24</v>
      </c>
      <c r="V136" s="1">
        <v>61</v>
      </c>
      <c r="W136" s="128">
        <f>VLOOKUP($B136&amp;"__wt",'SegEnds_Xtal_BW#'!$A:$Z,23,FALSE)</f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33</v>
      </c>
      <c r="AC136" s="1">
        <f>VLOOKUP(A136,'SegEnds_NonXtal_Prot#'!A:AL,10,FALSE)-VLOOKUP(A136,'SegEnds_NonXtal_Prot#'!A:AL,7,FALSE)</f>
        <v>19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24</v>
      </c>
      <c r="AH136" s="1">
        <f>VLOOKUP(A136,'SegEnds_NonXtal_Prot#'!A:AL,28,FALSE)-VLOOKUP(A136,'SegEnds_NonXtal_Prot#'!A:AL,22,FALSE)</f>
        <v>49</v>
      </c>
      <c r="AI136" s="1">
        <f>VLOOKUP(A136,'SegEnds_NonXtal_Prot#'!A:AL,31,FALSE)-VLOOKUP(A136,'SegEnds_NonXtal_Prot#'!A:AL,28,FALSE)</f>
        <v>54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207</v>
      </c>
      <c r="B137" s="1" t="str">
        <f>VLOOKUP(A137,Xtal_Templ!A:B,2,FALSE)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INDEX(ICL3_classA!$G$2:$G$39,MATCH(MIN(ABS(AI137-ICL3_classA!$F$2:$F$39)),ABS(AI137-ICL3_classA!$F$2:$F$39),0))</f>
        <v>76</v>
      </c>
      <c r="U137" s="1">
        <f t="array" ref="U137">INDEX(ICL3_classA!$H$2:$H$39,MATCH(MIN(ABS(AI137-ICL3_classA!$F$2:$F$39)),ABS(AI137-ICL3_classA!$F$2:$F$39),0))</f>
        <v>24</v>
      </c>
      <c r="V137" s="1">
        <v>61</v>
      </c>
      <c r="W137" s="128">
        <f>VLOOKUP($B137&amp;"__wt",'SegEnds_Xtal_BW#'!$A:$Z,23,FALSE)</f>
        <v>27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63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51</v>
      </c>
      <c r="AI137" s="1">
        <f>VLOOKUP(A137,'SegEnds_NonXtal_Prot#'!A:AL,31,FALSE)-VLOOKUP(A137,'SegEnds_NonXtal_Prot#'!A:AL,28,FALSE)</f>
        <v>118</v>
      </c>
      <c r="AJ137" s="1">
        <f>VLOOKUP(A137,'SegEnds_NonXtal_Prot#'!A:AL,34,FALSE)-VLOOKUP(A137,'SegEnds_NonXtal_Prot#'!A:AL,31,FALSE)</f>
        <v>39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208</v>
      </c>
      <c r="B138" s="1" t="str">
        <f>VLOOKUP(A138,Xtal_Templ!A:B,2,FALSE)</f>
        <v>ghsr_human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INDEX(ICL3_classA!$G$2:$G$39,MATCH(MIN(ABS(AI138-ICL3_classA!$F$2:$F$39)),ABS(AI138-ICL3_classA!$F$2:$F$39),0))</f>
        <v>72</v>
      </c>
      <c r="U138" s="1">
        <f t="array" ref="U138">INDEX(ICL3_classA!$H$2:$H$39,MATCH(MIN(ABS(AI138-ICL3_classA!$F$2:$F$39)),ABS(AI138-ICL3_classA!$F$2:$F$39),0))</f>
        <v>24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62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26</v>
      </c>
      <c r="AH138" s="1">
        <f>VLOOKUP(A138,'SegEnds_NonXtal_Prot#'!A:AL,28,FALSE)-VLOOKUP(A138,'SegEnds_NonXtal_Prot#'!A:AL,22,FALSE)</f>
        <v>56</v>
      </c>
      <c r="AI138" s="1">
        <f>VLOOKUP(A138,'SegEnds_NonXtal_Prot#'!A:AL,31,FALSE)-VLOOKUP(A138,'SegEnds_NonXtal_Prot#'!A:AL,28,FALSE)</f>
        <v>54</v>
      </c>
      <c r="AJ138" s="1">
        <f>VLOOKUP(A138,'SegEnds_NonXtal_Prot#'!A:AL,34,FALSE)-VLOOKUP(A138,'SegEnds_NonXtal_Prot#'!A:AL,31,FALSE)</f>
        <v>42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209</v>
      </c>
      <c r="B139" s="1" t="str">
        <f>VLOOKUP(A139,Xtal_Templ!A:B,2,FALSE)</f>
        <v>oxyr_human</v>
      </c>
      <c r="C139" s="5">
        <f>VLOOKUP($B139&amp;"__wt",'SegEnds_Xtal_BW#'!$A:$Z,3,FALSE)</f>
        <v>28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 t="str">
        <f>VLOOKUP($B139&amp;"__wt",'SegEnds_Xtal_BW#'!$A:$Z,13,FALSE)</f>
        <v>-</v>
      </c>
      <c r="N139" s="12">
        <v>53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33</v>
      </c>
      <c r="T139" s="1">
        <f t="array" ref="T139">INDEX(ICL3_classA!$G$2:$G$39,MATCH(MIN(ABS(AI139-ICL3_classA!$F$2:$F$39)),ABS(AI139-ICL3_classA!$F$2:$F$39),0))</f>
        <v>74</v>
      </c>
      <c r="U139" s="1">
        <f t="array" ref="U139">INDEX(ICL3_classA!$H$2:$H$39,MATCH(MIN(ABS(AI139-ICL3_classA!$F$2:$F$39)),ABS(AI139-ICL3_classA!$F$2:$F$39),0))</f>
        <v>21</v>
      </c>
      <c r="V139" s="1">
        <v>61</v>
      </c>
      <c r="W139" s="108">
        <v>25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63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34</v>
      </c>
      <c r="AC139" s="1">
        <f>VLOOKUP(A139,'SegEnds_NonXtal_Prot#'!A:AL,10,FALSE)-VLOOKUP(A139,'SegEnds_NonXtal_Prot#'!A:AL,7,FALSE)</f>
        <v>14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18</v>
      </c>
      <c r="AG139" s="1">
        <f>VLOOKUP(A139,'SegEnds_NonXtal_Prot#'!A:AL,28,FALSE)-VLOOKUP(A139,'SegEnds_NonXtal_Prot#'!A:AL,25,FALSE)</f>
        <v>23</v>
      </c>
      <c r="AH139" s="1">
        <f>VLOOKUP(A139,'SegEnds_NonXtal_Prot#'!A:AL,28,FALSE)-VLOOKUP(A139,'SegEnds_NonXtal_Prot#'!A:AL,22,FALSE)</f>
        <v>59</v>
      </c>
      <c r="AI139" s="1">
        <f>VLOOKUP(A139,'SegEnds_NonXtal_Prot#'!A:AL,31,FALSE)-VLOOKUP(A139,'SegEnds_NonXtal_Prot#'!A:AL,28,FALSE)</f>
        <v>59</v>
      </c>
      <c r="AJ139" s="1">
        <f>VLOOKUP(A139,'SegEnds_NonXtal_Prot#'!A:AL,34,FALSE)-VLOOKUP(A139,'SegEnds_NonXtal_Prot#'!A:AL,31,FALSE)</f>
        <v>38</v>
      </c>
      <c r="AK139" s="1" t="e">
        <f>VLOOKUP(A139,'SegEnds_NonXtal_Prot#'!A:AL,37,FALSE)-VLOOKUP(A139,'SegEnds_NonXtal_Prot#'!A:AL,34,FALSE)</f>
        <v>#VALUE!</v>
      </c>
      <c r="AL139" s="1" t="str">
        <f>IF(ISERROR(MATCH(A139,'SegEnds_Xtal_Prot#'!B:B, 0)), "NoXtal", "Xtal")</f>
        <v>NoXtal</v>
      </c>
    </row>
    <row r="140" spans="1:38" x14ac:dyDescent="0.2">
      <c r="A140" s="1" t="s">
        <v>211</v>
      </c>
      <c r="B140" s="1" t="str">
        <f>VLOOKUP(A140,Xtal_Templ!A:B,2,FALSE)</f>
        <v>ccr5_human</v>
      </c>
      <c r="C140" s="5">
        <f>VLOOKUP($B140&amp;"__wt",'SegEnds_Xtal_BW#'!$A:$Z,3,FALSE)</f>
        <v>24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INDEX(ICL3_classA!$G$2:$G$39,MATCH(MIN(ABS(AI140-ICL3_classA!$F$2:$F$39)),ABS(AI140-ICL3_classA!$F$2:$F$39),0))</f>
        <v>75</v>
      </c>
      <c r="U140" s="1">
        <f t="array" ref="U140">INDEX(ICL3_classA!$H$2:$H$39,MATCH(MIN(ABS(AI140-ICL3_classA!$F$2:$F$39)),ABS(AI140-ICL3_classA!$F$2:$F$39),0))</f>
        <v>24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22</v>
      </c>
      <c r="AH140" s="1">
        <f>VLOOKUP(A140,'SegEnds_NonXtal_Prot#'!A:AL,28,FALSE)-VLOOKUP(A140,'SegEnds_NonXtal_Prot#'!A:AL,22,FALSE)</f>
        <v>48</v>
      </c>
      <c r="AI140" s="1">
        <f>VLOOKUP(A140,'SegEnds_NonXtal_Prot#'!A:AL,31,FALSE)-VLOOKUP(A140,'SegEnds_NonXtal_Prot#'!A:AL,28,FALSE)</f>
        <v>210</v>
      </c>
      <c r="AJ140" s="1">
        <f>VLOOKUP(A140,'SegEnds_NonXtal_Prot#'!A:AL,34,FALSE)-VLOOKUP(A140,'SegEnds_NonXtal_Prot#'!A:AL,31,FALSE)</f>
        <v>37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212</v>
      </c>
      <c r="B141" s="1" t="str">
        <f>VLOOKUP(A141,Xtal_Templ!A:B,2,FALSE)</f>
        <v>aa1r_human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66</v>
      </c>
      <c r="I141" s="1">
        <f>VLOOKUP($B141&amp;"__wt",'SegEnds_Xtal_BW#'!$A:$Z,9,FALSE)</f>
        <v>50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INDEX(ICL3_classA!$G$2:$G$39,MATCH(MIN(ABS(AI141-ICL3_classA!$F$2:$F$39)),ABS(AI141-ICL3_classA!$F$2:$F$39),0))</f>
        <v>74</v>
      </c>
      <c r="U141" s="1">
        <f t="array" ref="U141">INDEX(ICL3_classA!$H$2:$H$39,MATCH(MIN(ABS(AI141-ICL3_classA!$F$2:$F$39)),ABS(AI141-ICL3_classA!$F$2:$F$39),0))</f>
        <v>21</v>
      </c>
      <c r="V141" s="1">
        <v>61</v>
      </c>
      <c r="W141" s="1"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29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21</v>
      </c>
      <c r="AH141" s="1">
        <f>VLOOKUP(A141,'SegEnds_NonXtal_Prot#'!A:AL,28,FALSE)-VLOOKUP(A141,'SegEnds_NonXtal_Prot#'!A:AL,22,FALSE)</f>
        <v>46</v>
      </c>
      <c r="AI141" s="1">
        <f>VLOOKUP(A141,'SegEnds_NonXtal_Prot#'!A:AL,31,FALSE)-VLOOKUP(A141,'SegEnds_NonXtal_Prot#'!A:AL,28,FALSE)</f>
        <v>64</v>
      </c>
      <c r="AJ141" s="1">
        <f>VLOOKUP(A141,'SegEnds_NonXtal_Prot#'!A:AL,34,FALSE)-VLOOKUP(A141,'SegEnds_NonXtal_Prot#'!A:AL,31,FALSE)</f>
        <v>36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213</v>
      </c>
      <c r="B142" s="1" t="str">
        <f>VLOOKUP(A142,Xtal_Templ!A:B,2,FALSE)</f>
        <v>par2_human</v>
      </c>
      <c r="C142" s="5">
        <f>VLOOKUP($B142&amp;"__wt",'SegEnds_Xtal_BW#'!$A:$Z,3,FALSE)</f>
        <v>28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47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56</v>
      </c>
      <c r="O142" s="87">
        <f>VLOOKUP($B142&amp;"__wt",'SegEnds_Xtal_BW#'!$A:$Z,15,FALSE)</f>
        <v>38</v>
      </c>
      <c r="P142" s="1">
        <f>VLOOKUP($B142&amp;"__wt",'SegEnds_Xtal_BW#'!$A:$Z,16,FALSE)</f>
        <v>62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31</v>
      </c>
      <c r="T142" s="1">
        <f t="array" ref="T142">INDEX(ICL3_classA!$G$2:$G$39,MATCH(MIN(ABS(AI142-ICL3_classA!$F$2:$F$39)),ABS(AI142-ICL3_classA!$F$2:$F$39),0))</f>
        <v>67</v>
      </c>
      <c r="U142" s="1">
        <f t="array" ref="U142">INDEX(ICL3_classA!$H$2:$H$39,MATCH(MIN(ABS(AI142-ICL3_classA!$F$2:$F$39)),ABS(AI142-ICL3_classA!$F$2:$F$39),0))</f>
        <v>26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 t="e">
        <f>VLOOKUP(A142,'SegEnds_NonXtal_Prot#'!A:AL,22,FALSE)-VLOOKUP(A142,'SegEnds_NonXtal_Prot#'!A:AL,19,FALSE)</f>
        <v>#VALUE!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44</v>
      </c>
      <c r="AI142" s="1">
        <f>VLOOKUP(A142,'SegEnds_NonXtal_Prot#'!A:AL,31,FALSE)-VLOOKUP(A142,'SegEnds_NonXtal_Prot#'!A:AL,28,FALSE)</f>
        <v>46</v>
      </c>
      <c r="AJ142" s="1">
        <f>VLOOKUP(A142,'SegEnds_NonXtal_Prot#'!A:AL,34,FALSE)-VLOOKUP(A142,'SegEnds_NonXtal_Prot#'!A:AL,31,FALSE)</f>
        <v>48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222</v>
      </c>
      <c r="B143" s="1" t="str">
        <f>VLOOKUP(A143,Xtal_Templ!A:B,2,FALSE)</f>
        <v>agtr2_human</v>
      </c>
      <c r="C143" s="5">
        <f>VLOOKUP($B143&amp;"__wt",'SegEnds_Xtal_BW#'!$A:$Z,3,FALSE)</f>
        <v>33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56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61</v>
      </c>
      <c r="W143" s="108">
        <v>25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19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223</v>
      </c>
      <c r="B144" s="1" t="str">
        <f>VLOOKUP(A144,Xtal_Templ!A:B,2,FALSE)</f>
        <v>fpr2_human</v>
      </c>
      <c r="C144" s="5">
        <f>VLOOKUP($B144&amp;"__wt",'SegEnds_Xtal_BW#'!$A:$Z,3,FALSE)</f>
        <v>25</v>
      </c>
      <c r="D144" s="1">
        <f>VLOOKUP($B144&amp;"__wt",'SegEnds_Xtal_BW#'!$A:$Z,4,FALSE)</f>
        <v>61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58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30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48</v>
      </c>
      <c r="AJ144" s="1">
        <f>VLOOKUP(A144,'SegEnds_NonXtal_Prot#'!A:AL,34,FALSE)-VLOOKUP(A144,'SegEnds_NonXtal_Prot#'!A:AL,31,FALSE)</f>
        <v>40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226</v>
      </c>
      <c r="B145" s="1" t="str">
        <f>VLOOKUP(A145,Xtal_Templ!A:B,2,FALSE)</f>
        <v>5ht1b_human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v>38</v>
      </c>
      <c r="P145" s="1">
        <v>63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INDEX(ICL3_classA!$G$2:$G$39,MATCH(MIN(ABS(AI145-ICL3_classA!$F$2:$F$39)),ABS(AI145-ICL3_classA!$F$2:$F$39),0))</f>
        <v>76</v>
      </c>
      <c r="U145" s="1">
        <f t="array" ref="U145">INDEX(ICL3_classA!$H$2:$H$39,MATCH(MIN(ABS(AI145-ICL3_classA!$F$2:$F$39)),ABS(AI145-ICL3_classA!$F$2:$F$39),0))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85</v>
      </c>
      <c r="AJ145" s="1">
        <f>VLOOKUP(A145,'SegEnds_NonXtal_Prot#'!A:AL,34,FALSE)-VLOOKUP(A145,'SegEnds_NonXtal_Prot#'!A:AL,31,FALSE)</f>
        <v>36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228</v>
      </c>
      <c r="B146" s="1" t="str">
        <f>VLOOKUP(A146,Xtal_Templ!A:B,2,FALSE)</f>
        <v>p2y12_human</v>
      </c>
      <c r="C146" s="5">
        <f>VLOOKUP($B146&amp;"__wt",'SegEnds_Xtal_BW#'!$A:$Z,3,FALSE)</f>
        <v>28</v>
      </c>
      <c r="D146" s="1">
        <f>VLOOKUP($B146&amp;"__wt",'SegEnds_Xtal_BW#'!$A:$Z,4,FALSE)</f>
        <v>60</v>
      </c>
      <c r="E146" s="1" t="str">
        <f>VLOOKUP($B146&amp;"__wt",'SegEnds_Xtal_BW#'!$A:$Z,5,FALSE)</f>
        <v>-</v>
      </c>
      <c r="F146" s="1" t="str">
        <f>VLOOKUP($B146&amp;"__wt",'SegEnds_Xtal_BW#'!$A:$Z,6,FALSE)</f>
        <v>-</v>
      </c>
      <c r="G146" s="1">
        <v>37</v>
      </c>
      <c r="H146" s="12">
        <f>VLOOKUP($B146&amp;"__wt",'SegEnds_Xtal_BW#'!$A:$Z,8,FALSE)</f>
        <v>66</v>
      </c>
      <c r="I146" s="1" t="str">
        <f>VLOOKUP($B146&amp;"__wt",'SegEnds_Xtal_BW#'!$A:$Z,9,FALSE)</f>
        <v>-</v>
      </c>
      <c r="J146" s="1" t="str">
        <f>VLOOKUP($B146&amp;"__wt",'SegEnds_Xtal_BW#'!$A:$Z,10,FALSE)</f>
        <v>-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INDEX(ICL3_classA!$G$2:$G$39,MATCH(MIN(ABS(AI146-ICL3_classA!$F$2:$F$39)),ABS(AI146-ICL3_classA!$F$2:$F$39),0))</f>
        <v>67</v>
      </c>
      <c r="U146" s="1">
        <f t="array" ref="U146">INDEX(ICL3_classA!$H$2:$H$39,MATCH(MIN(ABS(AI146-ICL3_classA!$F$2:$F$39)),ABS(AI146-ICL3_classA!$F$2:$F$39),0))</f>
        <v>26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57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26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47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232</v>
      </c>
      <c r="B147" s="1" t="str">
        <f>VLOOKUP(A147,Xtal_Templ!A:B,2,FALSE)</f>
        <v>apj_human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52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INDEX(ICL3_classA!$G$2:$G$39,MATCH(MIN(ABS(AI147-ICL3_classA!$F$2:$F$39)),ABS(AI147-ICL3_classA!$F$2:$F$39),0))</f>
        <v>68</v>
      </c>
      <c r="U147" s="1">
        <f t="array" ref="U147">INDEX(ICL3_classA!$H$2:$H$39,MATCH(MIN(ABS(AI147-ICL3_classA!$F$2:$F$39)),ABS(AI147-ICL3_classA!$F$2:$F$39),0))</f>
        <v>30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43</v>
      </c>
      <c r="AJ147" s="1">
        <f>VLOOKUP(A147,'SegEnds_NonXtal_Prot#'!A:AL,34,FALSE)-VLOOKUP(A147,'SegEnds_NonXtal_Prot#'!A:AL,31,FALSE)</f>
        <v>44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233</v>
      </c>
      <c r="B148" s="1" t="str">
        <f>VLOOKUP(A148,Xtal_Templ!A:B,2,FALSE)</f>
        <v>oprk_human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INDEX(ICL3_classA!$G$2:$G$39,MATCH(MIN(ABS(AI148-ICL3_classA!$F$2:$F$39)),ABS(AI148-ICL3_classA!$F$2:$F$39),0))</f>
        <v>68</v>
      </c>
      <c r="U148" s="1">
        <f t="array" ref="U148">INDEX(ICL3_classA!$H$2:$H$39,MATCH(MIN(ABS(AI148-ICL3_classA!$F$2:$F$39)),ABS(AI148-ICL3_classA!$F$2:$F$39),0))</f>
        <v>23</v>
      </c>
      <c r="V148" s="1">
        <v>64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51</v>
      </c>
      <c r="AJ148" s="1">
        <f>VLOOKUP(A148,'SegEnds_NonXtal_Prot#'!A:AL,34,FALSE)-VLOOKUP(A148,'SegEnds_NonXtal_Prot#'!A:AL,31,FALSE)</f>
        <v>46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236</v>
      </c>
      <c r="B149" s="1" t="str">
        <f>VLOOKUP(A149,Xtal_Templ!A:B,2,FALSE)</f>
        <v>fpr2_human</v>
      </c>
      <c r="C149" s="5">
        <f>VLOOKUP($B149&amp;"__wt",'SegEnds_Xtal_BW#'!$A:$Z,3,FALSE)</f>
        <v>25</v>
      </c>
      <c r="D149" s="1">
        <f>VLOOKUP($B149&amp;"__wt",'SegEnds_Xtal_BW#'!$A:$Z,4,FALSE)</f>
        <v>61</v>
      </c>
      <c r="E149" s="1" t="str">
        <f>VLOOKUP($B149&amp;"__wt",'SegEnds_Xtal_BW#'!$A:$Z,5,FALSE)</f>
        <v>-</v>
      </c>
      <c r="F149" s="1" t="str">
        <f>VLOOKUP($B149&amp;"__wt",'SegEnds_Xtal_BW#'!$A:$Z,6,FALSE)</f>
        <v>-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23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27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31</v>
      </c>
      <c r="AH149" s="1">
        <f>VLOOKUP(A149,'SegEnds_NonXtal_Prot#'!A:AL,28,FALSE)-VLOOKUP(A149,'SegEnds_NonXtal_Prot#'!A:AL,22,FALSE)</f>
        <v>56</v>
      </c>
      <c r="AI149" s="1">
        <f>VLOOKUP(A149,'SegEnds_NonXtal_Prot#'!A:AL,31,FALSE)-VLOOKUP(A149,'SegEnds_NonXtal_Prot#'!A:AL,28,FALSE)</f>
        <v>43</v>
      </c>
      <c r="AJ149" s="1">
        <f>VLOOKUP(A149,'SegEnds_NonXtal_Prot#'!A:AL,34,FALSE)-VLOOKUP(A149,'SegEnds_NonXtal_Prot#'!A:AL,31,FALSE)</f>
        <v>40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238</v>
      </c>
      <c r="B150" s="1" t="str">
        <f>VLOOKUP(A150,Xtal_Templ!A:B,2,FALSE)</f>
        <v>ccr6_human</v>
      </c>
      <c r="C150" s="5">
        <f>VLOOKUP($B150&amp;"__wt",'SegEnds_Xtal_BW#'!$A:$Z,3,FALSE)</f>
        <v>25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24</v>
      </c>
      <c r="V150" s="1">
        <v>61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62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49</v>
      </c>
      <c r="AI150" s="1">
        <f>VLOOKUP(A150,'SegEnds_NonXtal_Prot#'!A:AL,31,FALSE)-VLOOKUP(A150,'SegEnds_NonXtal_Prot#'!A:AL,28,FALSE)</f>
        <v>49</v>
      </c>
      <c r="AJ150" s="1">
        <f>VLOOKUP(A150,'SegEnds_NonXtal_Prot#'!A:AL,34,FALSE)-VLOOKUP(A150,'SegEnds_NonXtal_Prot#'!A:AL,31,FALSE)</f>
        <v>43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239</v>
      </c>
      <c r="B151" s="1" t="str">
        <f>VLOOKUP(A151,Xtal_Templ!A:B,2,FALSE)</f>
        <v>cltr2_human</v>
      </c>
      <c r="C151" s="5">
        <f>VLOOKUP($B151&amp;"__wt",'SegEnds_Xtal_BW#'!$A:$Z,3,FALSE)</f>
        <v>25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08">
        <v>31</v>
      </c>
      <c r="T151" s="1">
        <f t="array" ref="T151">INDEX(ICL3_classA!$G$2:$G$39,MATCH(MIN(ABS(AI151-ICL3_classA!$F$2:$F$39)),ABS(AI151-ICL3_classA!$F$2:$F$39),0))</f>
        <v>67</v>
      </c>
      <c r="U151" s="1">
        <f t="array" ref="U151">INDEX(ICL3_classA!$H$2:$H$39,MATCH(MIN(ABS(AI151-ICL3_classA!$F$2:$F$39)),ABS(AI151-ICL3_classA!$F$2:$F$39),0))</f>
        <v>26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48</v>
      </c>
      <c r="AI151" s="1">
        <f>VLOOKUP(A151,'SegEnds_NonXtal_Prot#'!A:AL,31,FALSE)-VLOOKUP(A151,'SegEnds_NonXtal_Prot#'!A:AL,28,FALSE)</f>
        <v>46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241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2">
        <f>VLOOKUP($B152&amp;"__wt",'SegEnds_Xtal_BW#'!$A:$Z,8,FALSE)</f>
        <v>68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18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53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INDEX(ICL3_classA!$G$2:$G$39,MATCH(MIN(ABS(AI152-ICL3_classA!$F$2:$F$39)),ABS(AI152-ICL3_classA!$F$2:$F$39),0))</f>
        <v>73</v>
      </c>
      <c r="U152" s="4">
        <f t="array" ref="U152">INDEX(ICL3_classA!$H$2:$H$39,MATCH(MIN(ABS(AI152-ICL3_classA!$F$2:$F$39)),ABS(AI152-ICL3_classA!$F$2:$F$39),0))</f>
        <v>22</v>
      </c>
      <c r="V152" s="4">
        <v>61</v>
      </c>
      <c r="W152" s="4">
        <v>31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63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4">
        <f>VLOOKUP(A152,'SegEnds_NonXtal_Prot#'!A:AL,10,FALSE)-VLOOKUP(A152,'SegEnds_NonXtal_Prot#'!A:AL,7,FALSE)</f>
        <v>15</v>
      </c>
      <c r="AD152" s="4">
        <f>VLOOKUP(A152,'SegEnds_NonXtal_Prot#'!A:AL,13,FALSE)-VLOOKUP(A152,'SegEnds_NonXtal_Prot#'!A:AL,10,FALSE)</f>
        <v>20</v>
      </c>
      <c r="AE152" s="4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18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47</v>
      </c>
      <c r="AI152" s="4">
        <f>VLOOKUP(A152,'SegEnds_NonXtal_Prot#'!A:AL,31,FALSE)-VLOOKUP(A152,'SegEnds_NonXtal_Prot#'!A:AL,28,FALSE)</f>
        <v>56</v>
      </c>
      <c r="AJ152" s="4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243</v>
      </c>
      <c r="B153" s="1" t="str">
        <f>VLOOKUP(A153,Xtal_Templ!A:B,2,FALSE)</f>
        <v>gpr52_human</v>
      </c>
      <c r="C153" s="5">
        <f>VLOOKUP($B153&amp;"__wt",'SegEnds_Xtal_BW#'!$A:$Z,3,FALSE)</f>
        <v>32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08"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62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INDEX(ICL3_classA!$G$2:$G$39,MATCH(MIN(ABS(AI153-ICL3_classA!$F$2:$F$39)),ABS(AI153-ICL3_classA!$F$2:$F$39),0))</f>
        <v>74</v>
      </c>
      <c r="U153" s="1">
        <f t="array" ref="U153">INDEX(ICL3_classA!$H$2:$H$39,MATCH(MIN(ABS(AI153-ICL3_classA!$F$2:$F$39)),ABS(AI153-ICL3_classA!$F$2:$F$39),0))</f>
        <v>21</v>
      </c>
      <c r="V153" s="1">
        <v>61</v>
      </c>
      <c r="W153" s="1">
        <v>32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67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21</v>
      </c>
      <c r="AH153" s="1">
        <f>VLOOKUP(A153,'SegEnds_NonXtal_Prot#'!A:AL,28,FALSE)-VLOOKUP(A153,'SegEnds_NonXtal_Prot#'!A:AL,22,FALSE)</f>
        <v>48</v>
      </c>
      <c r="AI153" s="1">
        <f>VLOOKUP(A153,'SegEnds_NonXtal_Prot#'!A:AL,31,FALSE)-VLOOKUP(A153,'SegEnds_NonXtal_Prot#'!A:AL,28,FALSE)</f>
        <v>65</v>
      </c>
      <c r="AJ153" s="1">
        <f>VLOOKUP(A153,'SegEnds_NonXtal_Prot#'!A:AL,34,FALSE)-VLOOKUP(A153,'SegEnds_NonXtal_Prot#'!A:AL,31,FALSE)</f>
        <v>34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244</v>
      </c>
      <c r="B154" s="1" t="str">
        <f>VLOOKUP(A154,Xtal_Templ!A:B,2,FALSE)</f>
        <v>5ht2c_human</v>
      </c>
      <c r="C154" s="5">
        <f>VLOOKUP($B154&amp;"__wt",'SegEnds_Xtal_BW#'!$A:$Z,3,FALSE)</f>
        <v>33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53</v>
      </c>
      <c r="O154" s="87">
        <f>VLOOKUP($B154&amp;"__wt",'SegEnds_Xtal_BW#'!$A:$Z,15,FALSE)</f>
        <v>38</v>
      </c>
      <c r="P154" s="1">
        <v>63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>
        <f>VLOOKUP(A154,'SegEnds_NonXtal_Prot#'!A:AL,10,FALSE)-VLOOKUP(A154,'SegEnds_NonXtal_Prot#'!A:AL,7,FALSE)</f>
        <v>16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18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58</v>
      </c>
      <c r="AI154" s="1">
        <f>VLOOKUP(A154,'SegEnds_NonXtal_Prot#'!A:AL,31,FALSE)-VLOOKUP(A154,'SegEnds_NonXtal_Prot#'!A:AL,28,FALSE)</f>
        <v>105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245</v>
      </c>
      <c r="B155" s="1" t="str">
        <f>VLOOKUP(A155,Xtal_Templ!A:B,2,FALSE)</f>
        <v>agtr1_human</v>
      </c>
      <c r="C155" s="5">
        <f>VLOOKUP($B155&amp;"__wt",'SegEnds_Xtal_BW#'!$A:$Z,3,FALSE)</f>
        <v>28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34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28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61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50</v>
      </c>
      <c r="AI155" s="1">
        <f>VLOOKUP(A155,'SegEnds_NonXtal_Prot#'!A:AL,31,FALSE)-VLOOKUP(A155,'SegEnds_NonXtal_Prot#'!A:AL,28,FALSE)</f>
        <v>45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246</v>
      </c>
      <c r="B156" s="1" t="str">
        <f>VLOOKUP(A156,Xtal_Templ!A:B,2,FALSE)</f>
        <v>drd2_human</v>
      </c>
      <c r="C156" s="5">
        <f>VLOOKUP($B156&amp;"__wt",'SegEnds_Xtal_BW#'!$A:$Z,3,FALSE)</f>
        <v>29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v>35</v>
      </c>
      <c r="T156" s="1">
        <f t="array" ref="T156">INDEX(ICL3_classA!$G$2:$G$39,MATCH(MIN(ABS(AI156-ICL3_classA!$F$2:$F$39)),ABS(AI156-ICL3_classA!$F$2:$F$39),0))</f>
        <v>76</v>
      </c>
      <c r="U156" s="1">
        <f t="array" ref="U156">INDEX(ICL3_classA!$H$2:$H$39,MATCH(MIN(ABS(AI156-ICL3_classA!$F$2:$F$39)),ABS(AI156-ICL3_classA!$F$2:$F$39),0))</f>
        <v>24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>
        <f>VLOOKUP(A156,'SegEnds_NonXtal_Prot#'!A:AL,10,FALSE)-VLOOKUP(A156,'SegEnds_NonXtal_Prot#'!A:AL,7,FALSE)</f>
        <v>16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25</v>
      </c>
      <c r="AH156" s="1">
        <f>VLOOKUP(A156,'SegEnds_NonXtal_Prot#'!A:AL,28,FALSE)-VLOOKUP(A156,'SegEnds_NonXtal_Prot#'!A:AL,22,FALSE)</f>
        <v>53</v>
      </c>
      <c r="AI156" s="1">
        <f>VLOOKUP(A156,'SegEnds_NonXtal_Prot#'!A:AL,31,FALSE)-VLOOKUP(A156,'SegEnds_NonXtal_Prot#'!A:AL,28,FALSE)</f>
        <v>72</v>
      </c>
      <c r="AJ156" s="1">
        <f>VLOOKUP(A156,'SegEnds_NonXtal_Prot#'!A:AL,34,FALSE)-VLOOKUP(A156,'SegEnds_NonXtal_Prot#'!A:AL,31,FALSE)</f>
        <v>35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249</v>
      </c>
      <c r="B157" s="1" t="str">
        <f>VLOOKUP(A157,Xtal_Templ!A:B,2,FALSE)</f>
        <v>mtr1a_human</v>
      </c>
      <c r="C157" s="5">
        <f>VLOOKUP($B157&amp;"__wt",'SegEnds_Xtal_BW#'!$A:$Z,3,FALSE)</f>
        <v>28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68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35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63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42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251</v>
      </c>
      <c r="B158" s="1" t="str">
        <f>VLOOKUP(A158,Xtal_Templ!A:B,2,FALSE)</f>
        <v>fpr2_human</v>
      </c>
      <c r="C158" s="5">
        <f>VLOOKUP($B158&amp;"__wt",'SegEnds_Xtal_BW#'!$A:$Z,3,FALSE)</f>
        <v>25</v>
      </c>
      <c r="D158" s="1">
        <f>VLOOKUP($B158&amp;"__wt",'SegEnds_Xtal_BW#'!$A:$Z,4,FALSE)</f>
        <v>61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23</v>
      </c>
      <c r="T158" s="1">
        <f t="array" ref="T158">INDEX(ICL3_classA!$G$2:$G$39,MATCH(MIN(ABS(AI158-ICL3_classA!$F$2:$F$39)),ABS(AI158-ICL3_classA!$F$2:$F$39),0))</f>
        <v>68</v>
      </c>
      <c r="U158" s="1">
        <f t="array" ref="U158">INDEX(ICL3_classA!$H$2:$H$39,MATCH(MIN(ABS(AI158-ICL3_classA!$F$2:$F$39)),ABS(AI158-ICL3_classA!$F$2:$F$39),0))</f>
        <v>30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58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27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38</v>
      </c>
      <c r="AH158" s="1">
        <f>VLOOKUP(A158,'SegEnds_NonXtal_Prot#'!A:AL,28,FALSE)-VLOOKUP(A158,'SegEnds_NonXtal_Prot#'!A:AL,22,FALSE)</f>
        <v>64</v>
      </c>
      <c r="AI158" s="1">
        <f>VLOOKUP(A158,'SegEnds_NonXtal_Prot#'!A:AL,31,FALSE)-VLOOKUP(A158,'SegEnds_NonXtal_Prot#'!A:AL,28,FALSE)</f>
        <v>43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252</v>
      </c>
      <c r="B159" s="1" t="str">
        <f>VLOOKUP(A159,Xtal_Templ!A:B,2,FALSE)</f>
        <v>ptafr_human</v>
      </c>
      <c r="C159" s="5">
        <f>VLOOKUP($B159&amp;"__wt",'SegEnds_Xtal_BW#'!$A:$Z,3,FALSE)</f>
        <v>27</v>
      </c>
      <c r="D159" s="1">
        <f>VLOOKUP($B159&amp;"__wt",'SegEnds_Xtal_BW#'!$A:$Z,4,FALSE)</f>
        <v>61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33</v>
      </c>
      <c r="T159" s="1">
        <f t="array" ref="T159">INDEX(ICL3_classA!$G$2:$G$39,MATCH(MIN(ABS(AI159-ICL3_classA!$F$2:$F$39)),ABS(AI159-ICL3_classA!$F$2:$F$39),0))</f>
        <v>68</v>
      </c>
      <c r="U159" s="1">
        <f t="array" ref="U159">INDEX(ICL3_classA!$H$2:$H$39,MATCH(MIN(ABS(AI159-ICL3_classA!$F$2:$F$39)),ABS(AI159-ICL3_classA!$F$2:$F$39),0))</f>
        <v>23</v>
      </c>
      <c r="V159" s="1">
        <v>61</v>
      </c>
      <c r="W159" s="1">
        <v>24</v>
      </c>
      <c r="X159" s="1">
        <f>VLOOKUP($B159&amp;"__wt",'SegEnds_Xtal_BW#'!$A:$Z,24,FALSE)</f>
        <v>59</v>
      </c>
      <c r="Y159" s="1">
        <f>VLOOKUP($B159&amp;"__wt",'SegEnds_Xtal_BW#'!$A:$Z,25,FALSE)</f>
        <v>50</v>
      </c>
      <c r="Z159" s="1">
        <f>VLOOKUP($B159&amp;"__wt",'SegEnds_Xtal_BW#'!$A:$Z,26,FALSE)</f>
        <v>63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 t="e">
        <f>VLOOKUP(A159,'SegEnds_NonXtal_Prot#'!A:AL,10,FALSE)-VLOOKUP(A159,'SegEnds_NonXtal_Prot#'!A:AL,7,FALSE)</f>
        <v>#VALUE!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51</v>
      </c>
      <c r="AJ159" s="1">
        <f>VLOOKUP(A159,'SegEnds_NonXtal_Prot#'!A:AL,34,FALSE)-VLOOKUP(A159,'SegEnds_NonXtal_Prot#'!A:AL,31,FALSE)</f>
        <v>43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254</v>
      </c>
      <c r="B160" s="1" t="str">
        <f>VLOOKUP(A160,Xtal_Templ!A:B,2,FALSE)</f>
        <v>ednrb_human</v>
      </c>
      <c r="C160" s="5">
        <f>VLOOKUP($B160&amp;"__wt",'SegEnds_Xtal_BW#'!$A:$Z,3,FALSE)</f>
        <v>22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52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28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24</v>
      </c>
      <c r="V160" s="1">
        <v>61</v>
      </c>
      <c r="W160" s="128">
        <f>VLOOKUP($B160&amp;"__wt",'SegEnds_Xtal_BW#'!$A:$Z,23,FALSE)</f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35</v>
      </c>
      <c r="AH160" s="1">
        <f>VLOOKUP(A160,'SegEnds_NonXtal_Prot#'!A:AL,28,FALSE)-VLOOKUP(A160,'SegEnds_NonXtal_Prot#'!A:AL,22,FALSE)</f>
        <v>67</v>
      </c>
      <c r="AI160" s="1">
        <f>VLOOKUP(A160,'SegEnds_NonXtal_Prot#'!A:AL,31,FALSE)-VLOOKUP(A160,'SegEnds_NonXtal_Prot#'!A:AL,28,FALSE)</f>
        <v>53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256</v>
      </c>
      <c r="B161" s="1" t="str">
        <f>VLOOKUP(A161,Xtal_Templ!A:B,2,FALSE)</f>
        <v>ptafr_human</v>
      </c>
      <c r="C161" s="5">
        <f>VLOOKUP($B161&amp;"__wt",'SegEnds_Xtal_BW#'!$A:$Z,3,FALSE)</f>
        <v>27</v>
      </c>
      <c r="D161" s="1">
        <f>VLOOKUP($B161&amp;"__wt",'SegEnds_Xtal_BW#'!$A:$Z,4,FALSE)</f>
        <v>61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INDEX(ICL3_classA!$G$2:$G$39,MATCH(MIN(ABS(AI161-ICL3_classA!$F$2:$F$39)),ABS(AI161-ICL3_classA!$F$2:$F$39),0))</f>
        <v>67</v>
      </c>
      <c r="U161" s="1">
        <f t="array" ref="U161">INDEX(ICL3_classA!$H$2:$H$39,MATCH(MIN(ABS(AI161-ICL3_classA!$F$2:$F$39)),ABS(AI161-ICL3_classA!$F$2:$F$39),0))</f>
        <v>26</v>
      </c>
      <c r="V161" s="1">
        <v>64</v>
      </c>
      <c r="W161" s="1">
        <v>24</v>
      </c>
      <c r="X161" s="1">
        <f>VLOOKUP($B161&amp;"__wt",'SegEnds_Xtal_BW#'!$A:$Z,24,FALSE)</f>
        <v>59</v>
      </c>
      <c r="Y161" s="1">
        <f>VLOOKUP($B161&amp;"__wt",'SegEnds_Xtal_BW#'!$A:$Z,25,FALSE)</f>
        <v>50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51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257</v>
      </c>
      <c r="B162" s="1" t="str">
        <f>VLOOKUP(A162,Xtal_Templ!A:B,2,FALSE)</f>
        <v>par1_human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28</v>
      </c>
      <c r="V162" s="1">
        <v>61</v>
      </c>
      <c r="W162" s="1">
        <v>33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29</v>
      </c>
      <c r="AC162" s="1" t="e">
        <f>VLOOKUP(A162,'SegEnds_NonXtal_Prot#'!A:AL,10,FALSE)-VLOOKUP(A162,'SegEnds_NonXtal_Prot#'!A:AL,7,FALSE)</f>
        <v>#VALUE!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27</v>
      </c>
      <c r="AH162" s="1">
        <f>VLOOKUP(A162,'SegEnds_NonXtal_Prot#'!A:AL,28,FALSE)-VLOOKUP(A162,'SegEnds_NonXtal_Prot#'!A:AL,22,FALSE)</f>
        <v>56</v>
      </c>
      <c r="AI162" s="1">
        <f>VLOOKUP(A162,'SegEnds_NonXtal_Prot#'!A:AL,31,FALSE)-VLOOKUP(A162,'SegEnds_NonXtal_Prot#'!A:AL,28,FALSE)</f>
        <v>44</v>
      </c>
      <c r="AJ162" s="1">
        <f>VLOOKUP(A162,'SegEnds_NonXtal_Prot#'!A:AL,34,FALSE)-VLOOKUP(A162,'SegEnds_NonXtal_Prot#'!A:AL,31,FALSE)</f>
        <v>33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258</v>
      </c>
      <c r="B163" s="1" t="str">
        <f>VLOOKUP(A163,Xtal_Templ!A:B,2,FALSE)</f>
        <v>ccr6_human</v>
      </c>
      <c r="C163" s="5">
        <f>VLOOKUP($B163&amp;"__wt",'SegEnds_Xtal_BW#'!$A:$Z,3,FALSE)</f>
        <v>25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56</v>
      </c>
      <c r="O163" s="87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INDEX(ICL3_classA!$G$2:$G$39,MATCH(MIN(ABS(AI163-ICL3_classA!$F$2:$F$39)),ABS(AI163-ICL3_classA!$F$2:$F$39),0))</f>
        <v>76</v>
      </c>
      <c r="U163" s="1">
        <f t="array" ref="U163">INDEX(ICL3_classA!$H$2:$H$39,MATCH(MIN(ABS(AI163-ICL3_classA!$F$2:$F$39)),ABS(AI163-ICL3_classA!$F$2:$F$39),0))</f>
        <v>24</v>
      </c>
      <c r="V163" s="1">
        <v>61</v>
      </c>
      <c r="W163" s="128">
        <f>VLOOKUP($B163&amp;"__wt",'SegEnds_Xtal_BW#'!$A:$Z,23,FALSE)</f>
        <v>24</v>
      </c>
      <c r="X163" s="123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62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>
        <f>VLOOKUP(A163,'SegEnds_NonXtal_Prot#'!A:AL,28,FALSE)-VLOOKUP(A163,'SegEnds_NonXtal_Prot#'!A:AL,25,FALSE)</f>
        <v>25</v>
      </c>
      <c r="AH163" s="1">
        <f>VLOOKUP(A163,'SegEnds_NonXtal_Prot#'!A:AL,28,FALSE)-VLOOKUP(A163,'SegEnds_NonXtal_Prot#'!A:AL,22,FALSE)</f>
        <v>51</v>
      </c>
      <c r="AI163" s="1">
        <f>VLOOKUP(A163,'SegEnds_NonXtal_Prot#'!A:AL,31,FALSE)-VLOOKUP(A163,'SegEnds_NonXtal_Prot#'!A:AL,28,FALSE)</f>
        <v>75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259</v>
      </c>
      <c r="B164" s="1" t="str">
        <f>VLOOKUP(A164,Xtal_Templ!A:B,2,FALSE)</f>
        <v>gpr52_human</v>
      </c>
      <c r="C164" s="5">
        <f>VLOOKUP($B164&amp;"__wt",'SegEnds_Xtal_BW#'!$A:$Z,3,FALSE)</f>
        <v>32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52</v>
      </c>
      <c r="G164" s="1">
        <v>37</v>
      </c>
      <c r="H164" s="108">
        <v>67</v>
      </c>
      <c r="I164" s="1" t="str">
        <f>VLOOKUP($B164&amp;"__wt",'SegEnds_Xtal_BW#'!$A:$Z,9,FALSE)</f>
        <v>-</v>
      </c>
      <c r="J164" s="1" t="str">
        <f>VLOOKUP($B164&amp;"__wt",'SegEnds_Xtal_BW#'!$A:$Z,10,FALSE)</f>
        <v>-</v>
      </c>
      <c r="K164" s="108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08">
        <v>36</v>
      </c>
      <c r="T164" s="1">
        <f t="array" ref="T164">INDEX(ICL3_classA!$G$2:$G$39,MATCH(MIN(ABS(AI164-ICL3_classA!$F$2:$F$39)),ABS(AI164-ICL3_classA!$F$2:$F$39),0))</f>
        <v>74</v>
      </c>
      <c r="U164" s="1">
        <f t="array" ref="U164">INDEX(ICL3_classA!$H$2:$H$39,MATCH(MIN(ABS(AI164-ICL3_classA!$F$2:$F$39)),ABS(AI164-ICL3_classA!$F$2:$F$39),0))</f>
        <v>21</v>
      </c>
      <c r="V164" s="1">
        <v>61</v>
      </c>
      <c r="W164" s="108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67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>
        <f>VLOOKUP(A164,'SegEnds_NonXtal_Prot#'!A:AL,10,FALSE)-VLOOKUP(A164,'SegEnds_NonXtal_Prot#'!A:AL,7,FALSE)</f>
        <v>16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21</v>
      </c>
      <c r="AH164" s="1">
        <f>VLOOKUP(A164,'SegEnds_NonXtal_Prot#'!A:AL,28,FALSE)-VLOOKUP(A164,'SegEnds_NonXtal_Prot#'!A:AL,22,FALSE)</f>
        <v>48</v>
      </c>
      <c r="AI164" s="1">
        <f>VLOOKUP(A164,'SegEnds_NonXtal_Prot#'!A:AL,31,FALSE)-VLOOKUP(A164,'SegEnds_NonXtal_Prot#'!A:AL,28,FALSE)</f>
        <v>66</v>
      </c>
      <c r="AJ164" s="1">
        <f>VLOOKUP(A164,'SegEnds_NonXtal_Prot#'!A:AL,34,FALSE)-VLOOKUP(A164,'SegEnds_NonXtal_Prot#'!A:AL,31,FALSE)</f>
        <v>34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264</v>
      </c>
      <c r="B165" s="1" t="str">
        <f>VLOOKUP(A165,Xtal_Templ!A:B,2,FALSE)</f>
        <v>drd2_human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58</v>
      </c>
      <c r="O165" s="87">
        <v>38</v>
      </c>
      <c r="P165" s="1">
        <f>VLOOKUP($B165&amp;"__wt",'SegEnds_Xtal_BW#'!$A:$Z,16,FALSE)</f>
        <v>62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76</v>
      </c>
      <c r="U165" s="1">
        <f t="array" ref="U165">INDEX(ICL3_classA!$H$2:$H$39,MATCH(MIN(ABS(AI165-ICL3_classA!$F$2:$F$39)),ABS(AI165-ICL3_classA!$F$2:$F$39),0))</f>
        <v>24</v>
      </c>
      <c r="V165" s="1">
        <v>61</v>
      </c>
      <c r="W165" s="128">
        <f>VLOOKUP($B165&amp;"__wt",'SegEnds_Xtal_BW#'!$A:$Z,23,FALSE)</f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 t="e">
        <f>VLOOKUP(A165,'SegEnds_NonXtal_Prot#'!A:AL,22,FALSE)-VLOOKUP(A165,'SegEnds_NonXtal_Prot#'!A:AL,19,FALSE)</f>
        <v>#VALUE!</v>
      </c>
      <c r="AG165" s="1">
        <f>VLOOKUP(A165,'SegEnds_NonXtal_Prot#'!A:AL,28,FALSE)-VLOOKUP(A165,'SegEnds_NonXtal_Prot#'!A:AL,25,FALSE)</f>
        <v>25</v>
      </c>
      <c r="AH165" s="1">
        <f>VLOOKUP(A165,'SegEnds_NonXtal_Prot#'!A:AL,28,FALSE)-VLOOKUP(A165,'SegEnds_NonXtal_Prot#'!A:AL,22,FALSE)</f>
        <v>51</v>
      </c>
      <c r="AI165" s="1">
        <f>VLOOKUP(A165,'SegEnds_NonXtal_Prot#'!A:AL,31,FALSE)-VLOOKUP(A165,'SegEnds_NonXtal_Prot#'!A:AL,28,FALSE)</f>
        <v>75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266</v>
      </c>
      <c r="B166" s="1" t="str">
        <f>VLOOKUP(A166,Xtal_Templ!A:B,2,FALSE)</f>
        <v>drd2_human</v>
      </c>
      <c r="C166" s="5">
        <f>VLOOKUP($B166&amp;"__wt",'SegEnds_Xtal_BW#'!$A:$Z,3,FALSE)</f>
        <v>29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INDEX(ICL3_classA!$G$2:$G$39,MATCH(MIN(ABS(AI166-ICL3_classA!$F$2:$F$39)),ABS(AI166-ICL3_classA!$F$2:$F$39),0))</f>
        <v>76</v>
      </c>
      <c r="U166" s="1">
        <f t="array" ref="U166">INDEX(ICL3_classA!$H$2:$H$39,MATCH(MIN(ABS(AI166-ICL3_classA!$F$2:$F$39)),ABS(AI166-ICL3_classA!$F$2:$F$39),0))</f>
        <v>24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29</v>
      </c>
      <c r="AC166" s="1">
        <f>VLOOKUP(A166,'SegEnds_NonXtal_Prot#'!A:AL,10,FALSE)-VLOOKUP(A166,'SegEnds_NonXtal_Prot#'!A:AL,7,FALSE)</f>
        <v>16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53</v>
      </c>
      <c r="AI166" s="1">
        <f>VLOOKUP(A166,'SegEnds_NonXtal_Prot#'!A:AL,31,FALSE)-VLOOKUP(A166,'SegEnds_NonXtal_Prot#'!A:AL,28,FALSE)</f>
        <v>72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268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56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INDEX(ICL3_classA!$G$2:$G$39,MATCH(MIN(ABS(AI167-ICL3_classA!$F$2:$F$39)),ABS(AI167-ICL3_classA!$F$2:$F$39),0))</f>
        <v>73</v>
      </c>
      <c r="U167" s="1">
        <f t="array" ref="U167">INDEX(ICL3_classA!$H$2:$H$39,MATCH(MIN(ABS(AI167-ICL3_classA!$F$2:$F$39)),ABS(AI167-ICL3_classA!$F$2:$F$39),0))</f>
        <v>22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 t="e">
        <f>VLOOKUP(A167,'SegEnds_NonXtal_Prot#'!A:AL,22,FALSE)-VLOOKUP(A167,'SegEnds_NonXtal_Prot#'!A:AL,19,FALSE)</f>
        <v>#VALUE!</v>
      </c>
      <c r="AG167" s="1">
        <f>VLOOKUP(A167,'SegEnds_NonXtal_Prot#'!A:AL,28,FALSE)-VLOOKUP(A167,'SegEnds_NonXtal_Prot#'!A:AL,25,FALSE)</f>
        <v>27</v>
      </c>
      <c r="AH167" s="1">
        <f>VLOOKUP(A167,'SegEnds_NonXtal_Prot#'!A:AL,28,FALSE)-VLOOKUP(A167,'SegEnds_NonXtal_Prot#'!A:AL,22,FALSE)</f>
        <v>57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269</v>
      </c>
      <c r="B168" s="1" t="str">
        <f>VLOOKUP(A168,Xtal_Templ!A:B,2,FALSE)</f>
        <v>ednrb_human</v>
      </c>
      <c r="C168" s="5">
        <f>VLOOKUP($B168&amp;"__wt",'SegEnds_Xtal_BW#'!$A:$Z,3,FALSE)</f>
        <v>22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52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28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24</v>
      </c>
      <c r="V168" s="1">
        <v>61</v>
      </c>
      <c r="W168" s="1">
        <v>33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67</v>
      </c>
      <c r="AH168" s="1">
        <f>VLOOKUP(A168,'SegEnds_NonXtal_Prot#'!A:AL,28,FALSE)-VLOOKUP(A168,'SegEnds_NonXtal_Prot#'!A:AL,22,FALSE)</f>
        <v>90</v>
      </c>
      <c r="AI168" s="1">
        <f>VLOOKUP(A168,'SegEnds_NonXtal_Prot#'!A:AL,31,FALSE)-VLOOKUP(A168,'SegEnds_NonXtal_Prot#'!A:AL,28,FALSE)</f>
        <v>99</v>
      </c>
      <c r="AJ168" s="1">
        <f>VLOOKUP(A168,'SegEnds_NonXtal_Prot#'!A:AL,34,FALSE)-VLOOKUP(A168,'SegEnds_NonXtal_Prot#'!A:AL,31,FALSE)</f>
        <v>33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271</v>
      </c>
      <c r="B169" s="1" t="str">
        <f>VLOOKUP(A169,Xtal_Templ!A:B,2,FALSE)</f>
        <v>p2y12_human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 t="str">
        <f>VLOOKUP($B169&amp;"__wt",'SegEnds_Xtal_BW#'!$A:$Z,9,FALSE)</f>
        <v>-</v>
      </c>
      <c r="J169" s="1" t="str">
        <f>VLOOKUP($B169&amp;"__wt",'SegEnds_Xtal_BW#'!$A:$Z,10,FALSE)</f>
        <v>-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24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57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27</v>
      </c>
      <c r="AC169" s="1" t="e">
        <f>VLOOKUP(A169,'SegEnds_NonXtal_Prot#'!A:AL,10,FALSE)-VLOOKUP(A169,'SegEnds_NonXtal_Prot#'!A:AL,7,FALSE)</f>
        <v>#VALUE!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52</v>
      </c>
      <c r="AI169" s="1">
        <f>VLOOKUP(A169,'SegEnds_NonXtal_Prot#'!A:AL,31,FALSE)-VLOOKUP(A169,'SegEnds_NonXtal_Prot#'!A:AL,28,FALSE)</f>
        <v>49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273</v>
      </c>
      <c r="B170" s="1" t="str">
        <f>VLOOKUP(A170,Xtal_Templ!A:B,2,FALSE)</f>
        <v>ednrb_human</v>
      </c>
      <c r="C170" s="5">
        <f>VLOOKUP($B170&amp;"__wt",'SegEnds_Xtal_BW#'!$A:$Z,3,FALSE)</f>
        <v>22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52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28</v>
      </c>
      <c r="T170" s="1">
        <f t="array" ref="T170">INDEX(ICL3_classA!$G$2:$G$39,MATCH(MIN(ABS(AI170-ICL3_classA!$F$2:$F$39)),ABS(AI170-ICL3_classA!$F$2:$F$39),0))</f>
        <v>73</v>
      </c>
      <c r="U170" s="1">
        <f t="array" ref="U170">INDEX(ICL3_classA!$H$2:$H$39,MATCH(MIN(ABS(AI170-ICL3_classA!$F$2:$F$39)),ABS(AI170-ICL3_classA!$F$2:$F$39),0))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60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274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INDEX(ICL3_classA!$G$2:$G$39,MATCH(MIN(ABS(AI171-ICL3_classA!$F$2:$F$39)),ABS(AI171-ICL3_classA!$F$2:$F$39),0))</f>
        <v>67</v>
      </c>
      <c r="U171" s="1">
        <f t="array" ref="U171">INDEX(ICL3_classA!$H$2:$H$39,MATCH(MIN(ABS(AI171-ICL3_classA!$F$2:$F$39)),ABS(AI171-ICL3_classA!$F$2:$F$39),0))</f>
        <v>26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275</v>
      </c>
      <c r="B172" s="1" t="str">
        <f>VLOOKUP(A172,Xtal_Templ!A:B,2,FALSE)</f>
        <v>p2ry1_human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INDEX(ICL3_classA!$G$2:$G$39,MATCH(MIN(ABS(AI172-ICL3_classA!$F$2:$F$39)),ABS(AI172-ICL3_classA!$F$2:$F$39),0))</f>
        <v>67</v>
      </c>
      <c r="U172" s="1">
        <f t="array" ref="U172">INDEX(ICL3_classA!$H$2:$H$39,MATCH(MIN(ABS(AI172-ICL3_classA!$F$2:$F$39)),ABS(AI172-ICL3_classA!$F$2:$F$39),0))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276</v>
      </c>
      <c r="B173" s="1" t="str">
        <f>VLOOKUP(A173,Xtal_Templ!A:B,2,FALSE)</f>
        <v>p2ry1_human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INDEX(ICL3_classA!$G$2:$G$39,MATCH(MIN(ABS(AI173-ICL3_classA!$F$2:$F$39)),ABS(AI173-ICL3_classA!$F$2:$F$39),0))</f>
        <v>67</v>
      </c>
      <c r="U173" s="1">
        <f t="array" ref="U173">INDEX(ICL3_classA!$H$2:$H$39,MATCH(MIN(ABS(AI173-ICL3_classA!$F$2:$F$39)),ABS(AI173-ICL3_classA!$F$2:$F$39),0))</f>
        <v>26</v>
      </c>
      <c r="V173" s="1">
        <v>64</v>
      </c>
      <c r="W173" s="1">
        <v>24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23</v>
      </c>
      <c r="AH173" s="1">
        <f>VLOOKUP(A173,'SegEnds_NonXtal_Prot#'!A:AL,28,FALSE)-VLOOKUP(A173,'SegEnds_NonXtal_Prot#'!A:AL,22,FALSE)</f>
        <v>48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277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INDEX(ICL3_classA!$G$2:$G$39,MATCH(MIN(ABS(AI174-ICL3_classA!$F$2:$F$39)),ABS(AI174-ICL3_classA!$F$2:$F$39),0))</f>
        <v>76</v>
      </c>
      <c r="U174" s="1">
        <f t="array" ref="U174">INDEX(ICL3_classA!$H$2:$H$39,MATCH(MIN(ABS(AI174-ICL3_classA!$F$2:$F$39)),ABS(AI174-ICL3_classA!$F$2:$F$39),0))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22</v>
      </c>
      <c r="AH174" s="1">
        <f>VLOOKUP(A174,'SegEnds_NonXtal_Prot#'!A:AL,28,FALSE)-VLOOKUP(A174,'SegEnds_NonXtal_Prot#'!A:AL,22,FALSE)</f>
        <v>50</v>
      </c>
      <c r="AI174" s="1">
        <f>VLOOKUP(A174,'SegEnds_NonXtal_Prot#'!A:AL,31,FALSE)-VLOOKUP(A174,'SegEnds_NonXtal_Prot#'!A:AL,28,FALSE)</f>
        <v>228</v>
      </c>
      <c r="AJ174" s="1">
        <f>VLOOKUP(A174,'SegEnds_NonXtal_Prot#'!A:AL,34,FALSE)-VLOOKUP(A174,'SegEnds_NonXtal_Prot#'!A:AL,31,FALSE)</f>
        <v>35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Xtal</v>
      </c>
    </row>
    <row r="175" spans="1:38" x14ac:dyDescent="0.2">
      <c r="A175" s="1" t="s">
        <v>278</v>
      </c>
      <c r="B175" s="1" t="str">
        <f>VLOOKUP(A175,Xtal_Templ!A:B,2,FALSE)</f>
        <v>ada2c_human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62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INDEX(ICL3_classA!$G$2:$G$39,MATCH(MIN(ABS(AI175-ICL3_classA!$F$2:$F$39)),ABS(AI175-ICL3_classA!$F$2:$F$39),0))</f>
        <v>73</v>
      </c>
      <c r="U175" s="1">
        <f t="array" ref="U175">INDEX(ICL3_classA!$H$2:$H$39,MATCH(MIN(ABS(AI175-ICL3_classA!$F$2:$F$39)),ABS(AI175-ICL3_classA!$F$2:$F$39),0))</f>
        <v>22</v>
      </c>
      <c r="V175" s="1">
        <v>61</v>
      </c>
      <c r="W175" s="1">
        <v>31</v>
      </c>
      <c r="X175" s="108"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20</v>
      </c>
      <c r="AH175" s="1">
        <f>VLOOKUP(A175,'SegEnds_NonXtal_Prot#'!A:AL,28,FALSE)-VLOOKUP(A175,'SegEnds_NonXtal_Prot#'!A:AL,22,FALSE)</f>
        <v>51</v>
      </c>
      <c r="AI175" s="1">
        <f>VLOOKUP(A175,'SegEnds_NonXtal_Prot#'!A:AL,31,FALSE)-VLOOKUP(A175,'SegEnds_NonXtal_Prot#'!A:AL,28,FALSE)</f>
        <v>55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279</v>
      </c>
      <c r="B176" s="1" t="str">
        <f>VLOOKUP(A176,Xtal_Templ!A:B,2,FALSE)</f>
        <v>hrh1_human</v>
      </c>
      <c r="C176" s="5">
        <f>VLOOKUP($B176&amp;"__wt",'SegEnds_Xtal_BW#'!$A:$Z,3,FALSE)</f>
        <v>34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58</v>
      </c>
      <c r="O176" s="87">
        <f>VLOOKUP($B176&amp;"__wt",'SegEnds_Xtal_BW#'!$A:$Z,15,FALSE)</f>
        <v>38</v>
      </c>
      <c r="P176" s="1">
        <v>63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v>35</v>
      </c>
      <c r="T176" s="1">
        <f t="array" ref="T176">INDEX(ICL3_classA!$G$2:$G$39,MATCH(MIN(ABS(AI176-ICL3_classA!$F$2:$F$39)),ABS(AI176-ICL3_classA!$F$2:$F$39),0))</f>
        <v>75</v>
      </c>
      <c r="U176" s="1">
        <f t="array" ref="U176">INDEX(ICL3_classA!$H$2:$H$39,MATCH(MIN(ABS(AI176-ICL3_classA!$F$2:$F$39)),ABS(AI176-ICL3_classA!$F$2:$F$39),0))</f>
        <v>24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21</v>
      </c>
      <c r="AG176" s="1">
        <f>VLOOKUP(A176,'SegEnds_NonXtal_Prot#'!A:AL,28,FALSE)-VLOOKUP(A176,'SegEnds_NonXtal_Prot#'!A:AL,25,FALSE)</f>
        <v>22</v>
      </c>
      <c r="AH176" s="1">
        <f>VLOOKUP(A176,'SegEnds_NonXtal_Prot#'!A:AL,28,FALSE)-VLOOKUP(A176,'SegEnds_NonXtal_Prot#'!A:AL,22,FALSE)</f>
        <v>50</v>
      </c>
      <c r="AI176" s="1">
        <f>VLOOKUP(A176,'SegEnds_NonXtal_Prot#'!A:AL,31,FALSE)-VLOOKUP(A176,'SegEnds_NonXtal_Prot#'!A:AL,28,FALSE)</f>
        <v>163</v>
      </c>
      <c r="AJ176" s="1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281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74</v>
      </c>
      <c r="U177" s="1">
        <f t="array" ref="U177">INDEX(ICL3_classA!$H$2:$H$39,MATCH(MIN(ABS(AI177-ICL3_classA!$F$2:$F$39)),ABS(AI177-ICL3_classA!$F$2:$F$39),0))</f>
        <v>21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49</v>
      </c>
      <c r="AI177" s="1">
        <f>VLOOKUP(A177,'SegEnds_NonXtal_Prot#'!A:AL,31,FALSE)-VLOOKUP(A177,'SegEnds_NonXtal_Prot#'!A:AL,28,FALSE)</f>
        <v>62</v>
      </c>
      <c r="AJ177" s="1">
        <f>VLOOKUP(A177,'SegEnds_NonXtal_Prot#'!A:AL,34,FALSE)-VLOOKUP(A177,'SegEnds_NonXtal_Prot#'!A:AL,31,FALSE)</f>
        <v>42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294</v>
      </c>
      <c r="B178" s="1" t="str">
        <f>VLOOKUP(A178,Xtal_Templ!A:B,2,FALSE)</f>
        <v>ccr9_human</v>
      </c>
      <c r="C178" s="5">
        <f>VLOOKUP($B178&amp;"__wt",'SegEnds_Xtal_BW#'!$A:$Z,3,FALSE)</f>
        <v>27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08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33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30</v>
      </c>
      <c r="V178" s="1">
        <v>61</v>
      </c>
      <c r="W178" s="1">
        <v>34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67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26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39</v>
      </c>
      <c r="AI178" s="1">
        <f>VLOOKUP(A178,'SegEnds_NonXtal_Prot#'!A:AL,31,FALSE)-VLOOKUP(A178,'SegEnds_NonXtal_Prot#'!A:AL,28,FALSE)</f>
        <v>42</v>
      </c>
      <c r="AJ178" s="1">
        <f>VLOOKUP(A178,'SegEnds_NonXtal_Prot#'!A:AL,34,FALSE)-VLOOKUP(A178,'SegEnds_NonXtal_Prot#'!A:AL,31,FALSE)</f>
        <v>32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298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INDEX(ICL3_classA!$G$2:$G$39,MATCH(MIN(ABS(AI179-ICL3_classA!$F$2:$F$39)),ABS(AI179-ICL3_classA!$F$2:$F$39),0))</f>
        <v>68</v>
      </c>
      <c r="U179" s="1">
        <f t="array" ref="U179">INDEX(ICL3_classA!$H$2:$H$39,MATCH(MIN(ABS(AI179-ICL3_classA!$F$2:$F$39)),ABS(AI179-ICL3_classA!$F$2:$F$39),0))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299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INDEX(ICL3_classA!$G$2:$G$39,MATCH(MIN(ABS(AI180-ICL3_classA!$F$2:$F$39)),ABS(AI180-ICL3_classA!$F$2:$F$39),0))</f>
        <v>73</v>
      </c>
      <c r="U180" s="1">
        <f t="array" ref="U180">INDEX(ICL3_classA!$H$2:$H$39,MATCH(MIN(ABS(AI180-ICL3_classA!$F$2:$F$39)),ABS(AI180-ICL3_classA!$F$2:$F$39),0))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301</v>
      </c>
      <c r="B181" s="1" t="str">
        <f>VLOOKUP(A181,Xtal_Templ!A:B,2,FALSE)</f>
        <v>cxcr4_human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32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42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302</v>
      </c>
      <c r="B182" s="1" t="str">
        <f>VLOOKUP(A182,Xtal_Templ!A:B,2,FALSE)</f>
        <v>ccr6_human</v>
      </c>
      <c r="C182" s="5">
        <f>VLOOKUP($B182&amp;"__wt",'SegEnds_Xtal_BW#'!$A:$Z,3,FALSE)</f>
        <v>25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61</v>
      </c>
      <c r="W182" s="1">
        <v>32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62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305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INDEX(ICL3_classA!$G$2:$G$39,MATCH(MIN(ABS(AI183-ICL3_classA!$F$2:$F$39)),ABS(AI183-ICL3_classA!$F$2:$F$39),0))</f>
        <v>68</v>
      </c>
      <c r="U183" s="1">
        <f t="array" ref="U183">INDEX(ICL3_classA!$H$2:$H$39,MATCH(MIN(ABS(AI183-ICL3_classA!$F$2:$F$39)),ABS(AI183-ICL3_classA!$F$2:$F$39),0))</f>
        <v>30</v>
      </c>
      <c r="V183" s="1">
        <v>61</v>
      </c>
      <c r="W183" s="128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309</v>
      </c>
      <c r="B184" s="1" t="str">
        <f>VLOOKUP(A184,Xtal_Templ!A:B,2,FALSE)</f>
        <v>ghsr_human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INDEX(ICL3_classA!$G$2:$G$39,MATCH(MIN(ABS(AI184-ICL3_classA!$F$2:$F$39)),ABS(AI184-ICL3_classA!$F$2:$F$39),0))</f>
        <v>72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28">
        <f>VLOOKUP($B184&amp;"__wt",'SegEnds_Xtal_BW#'!$A:$Z,23,FALSE)</f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62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24</v>
      </c>
      <c r="AH184" s="1">
        <f>VLOOKUP(A184,'SegEnds_NonXtal_Prot#'!A:AL,28,FALSE)-VLOOKUP(A184,'SegEnds_NonXtal_Prot#'!A:AL,22,FALSE)</f>
        <v>96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310</v>
      </c>
      <c r="B185" s="1" t="str">
        <f>VLOOKUP(A185,Xtal_Templ!A:B,2,FALSE)</f>
        <v>mtr1a_human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INDEX(ICL3_classA!$G$2:$G$39,MATCH(MIN(ABS(AI185-ICL3_classA!$F$2:$F$39)),ABS(AI185-ICL3_classA!$F$2:$F$39),0))</f>
        <v>72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28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311</v>
      </c>
      <c r="B186" s="1" t="str">
        <f>VLOOKUP(A186,Xtal_Templ!A:B,2,FALSE)</f>
        <v>mtr1b_human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72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28">
        <f>VLOOKUP($B186&amp;"__wt",'SegEnds_Xtal_BW#'!$A:$Z,23,FALSE)</f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54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312</v>
      </c>
      <c r="B187" s="1" t="str">
        <f>VLOOKUP(A187,Xtal_Templ!A:B,2,FALSE)</f>
        <v>mtr1a_human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INDEX(ICL3_classA!$G$2:$G$39,MATCH(MIN(ABS(AI187-ICL3_classA!$F$2:$F$39)),ABS(AI187-ICL3_classA!$F$2:$F$39),0))</f>
        <v>72</v>
      </c>
      <c r="U187" s="1">
        <f t="array" ref="U187">INDEX(ICL3_classA!$H$2:$H$39,MATCH(MIN(ABS(AI187-ICL3_classA!$F$2:$F$39)),ABS(AI187-ICL3_classA!$F$2:$F$39),0))</f>
        <v>23</v>
      </c>
      <c r="V187" s="1">
        <v>61</v>
      </c>
      <c r="W187" s="128">
        <f>VLOOKUP($B187&amp;"__wt",'SegEnds_Xtal_BW#'!$A:$Z,23,FALSE)</f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63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22</v>
      </c>
      <c r="AH187" s="1">
        <f>VLOOKUP(A187,'SegEnds_NonXtal_Prot#'!A:AL,28,FALSE)-VLOOKUP(A187,'SegEnds_NonXtal_Prot#'!A:AL,22,FALSE)</f>
        <v>47</v>
      </c>
      <c r="AI187" s="1">
        <f>VLOOKUP(A187,'SegEnds_NonXtal_Prot#'!A:AL,31,FALSE)-VLOOKUP(A187,'SegEnds_NonXtal_Prot#'!A:AL,28,FALSE)</f>
        <v>52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313</v>
      </c>
      <c r="B188" s="1" t="str">
        <f>VLOOKUP(A188,Xtal_Templ!A:B,2,FALSE)</f>
        <v>nk1r_human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INDEX(ICL3_classA!$G$2:$G$39,MATCH(MIN(ABS(AI188-ICL3_classA!$F$2:$F$39)),ABS(AI188-ICL3_classA!$F$2:$F$39),0))</f>
        <v>73</v>
      </c>
      <c r="U188" s="1">
        <f t="array" ref="U188">INDEX(ICL3_classA!$H$2:$H$39,MATCH(MIN(ABS(AI188-ICL3_classA!$F$2:$F$39)),ABS(AI188-ICL3_classA!$F$2:$F$39),0))</f>
        <v>22</v>
      </c>
      <c r="V188" s="1">
        <v>61</v>
      </c>
      <c r="W188" s="128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55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314</v>
      </c>
      <c r="B189" s="1" t="str">
        <f>VLOOKUP(A189,Xtal_Templ!A:B,2,FALSE)</f>
        <v>nk1r_human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73</v>
      </c>
      <c r="U189" s="1">
        <f t="array" ref="U189">INDEX(ICL3_classA!$H$2:$H$39,MATCH(MIN(ABS(AI189-ICL3_classA!$F$2:$F$39)),ABS(AI189-ICL3_classA!$F$2:$F$39),0))</f>
        <v>22</v>
      </c>
      <c r="V189" s="1">
        <v>61</v>
      </c>
      <c r="W189" s="128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56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315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28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51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316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321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INDEX(ICL3_classA!$G$2:$G$39,MATCH(MIN(ABS(AI192-ICL3_classA!$F$2:$F$39)),ABS(AI192-ICL3_classA!$F$2:$F$39),0))</f>
        <v>73</v>
      </c>
      <c r="U192" s="1">
        <f t="array" ref="U192">INDEX(ICL3_classA!$H$2:$H$39,MATCH(MIN(ABS(AI192-ICL3_classA!$F$2:$F$39)),ABS(AI192-ICL3_classA!$F$2:$F$39),0))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63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62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322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INDEX(ICL3_classA!$G$2:$G$39,MATCH(MIN(ABS(AI193-ICL3_classA!$F$2:$F$39)),ABS(AI193-ICL3_classA!$F$2:$F$39),0))</f>
        <v>73</v>
      </c>
      <c r="U193" s="1">
        <f t="array" ref="U193">INDEX(ICL3_classA!$H$2:$H$39,MATCH(MIN(ABS(AI193-ICL3_classA!$F$2:$F$39)),ABS(AI193-ICL3_classA!$F$2:$F$39),0))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63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 t="e">
        <f>VLOOKUP(A193,'SegEnds_NonXtal_Prot#'!A:AL,22,FALSE)-VLOOKUP(A193,'SegEnds_NonXtal_Prot#'!A:AL,19,FALSE)</f>
        <v>#VALUE!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63</v>
      </c>
      <c r="AI193" s="1">
        <f>VLOOKUP(A193,'SegEnds_NonXtal_Prot#'!A:AL,31,FALSE)-VLOOKUP(A193,'SegEnds_NonXtal_Prot#'!A:AL,28,FALSE)</f>
        <v>58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323</v>
      </c>
      <c r="B194" s="1" t="str">
        <f>VLOOKUP(A194,Xtal_Templ!A:B,2,FALSE)</f>
        <v>oxyr_human</v>
      </c>
      <c r="C194" s="5">
        <f>VLOOKUP($B194&amp;"__wt",'SegEnds_Xtal_BW#'!$A:$Z,3,FALSE)</f>
        <v>28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 t="str">
        <f>VLOOKUP($B194&amp;"__wt",'SegEnds_Xtal_BW#'!$A:$Z,13,FALSE)</f>
        <v>-</v>
      </c>
      <c r="N194" s="12">
        <v>53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INDEX(ICL3_classA!$G$2:$G$39,MATCH(MIN(ABS(AI194-ICL3_classA!$F$2:$F$39)),ABS(AI194-ICL3_classA!$F$2:$F$39),0))</f>
        <v>76</v>
      </c>
      <c r="U194" s="1">
        <f t="array" ref="U194">INDEX(ICL3_classA!$H$2:$H$39,MATCH(MIN(ABS(AI194-ICL3_classA!$F$2:$F$39)),ABS(AI194-ICL3_classA!$F$2:$F$39),0))</f>
        <v>24</v>
      </c>
      <c r="V194" s="1">
        <v>61</v>
      </c>
      <c r="W194" s="128">
        <f>VLOOKUP($B194&amp;"__wt",'SegEnds_Xtal_BW#'!$A:$Z,23,FALSE)</f>
        <v>30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63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27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18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51</v>
      </c>
      <c r="AI194" s="1">
        <f>VLOOKUP(A194,'SegEnds_NonXtal_Prot#'!A:AL,31,FALSE)-VLOOKUP(A194,'SegEnds_NonXtal_Prot#'!A:AL,28,FALSE)</f>
        <v>67</v>
      </c>
      <c r="AJ194" s="1">
        <f>VLOOKUP(A194,'SegEnds_NonXtal_Prot#'!A:AL,34,FALSE)-VLOOKUP(A194,'SegEnds_NonXtal_Prot#'!A:AL,31,FALSE)</f>
        <v>38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324</v>
      </c>
      <c r="B195" s="1" t="str">
        <f>VLOOKUP(A195,Xtal_Templ!A:B,2,FALSE)</f>
        <v>npy1r_human</v>
      </c>
      <c r="C195" s="5">
        <f>VLOOKUP($B195&amp;"__wt",'SegEnds_Xtal_BW#'!$A:$Z,3,FALSE)</f>
        <v>28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08" t="s">
        <v>23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28">
        <f>VLOOKUP($B195&amp;"__wt",'SegEnds_Xtal_BW#'!$A:$Z,23,FALSE)</f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60</v>
      </c>
      <c r="AI195" s="1">
        <f>VLOOKUP(A195,'SegEnds_NonXtal_Prot#'!A:AL,31,FALSE)-VLOOKUP(A195,'SegEnds_NonXtal_Prot#'!A:AL,28,FALSE)</f>
        <v>55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325</v>
      </c>
      <c r="B196" s="1" t="str">
        <f>VLOOKUP(A196,Xtal_Templ!A:B,2,FALSE)</f>
        <v>ox1r_human</v>
      </c>
      <c r="C196" s="5">
        <f>VLOOKUP($B196&amp;"__wt",'SegEnds_Xtal_BW#'!$A:$Z,3,FALSE)</f>
        <v>32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INDEX(ICL3_classA!$G$2:$G$39,MATCH(MIN(ABS(AI196-ICL3_classA!$F$2:$F$39)),ABS(AI196-ICL3_classA!$F$2:$F$39),0))</f>
        <v>72</v>
      </c>
      <c r="U196" s="1">
        <f t="array" ref="U196">INDEX(ICL3_classA!$H$2:$H$39,MATCH(MIN(ABS(AI196-ICL3_classA!$F$2:$F$39)),ABS(AI196-ICL3_classA!$F$2:$F$39),0))</f>
        <v>23</v>
      </c>
      <c r="V196" s="1">
        <v>61</v>
      </c>
      <c r="W196" s="128">
        <f>VLOOKUP($B196&amp;"__wt",'SegEnds_Xtal_BW#'!$A:$Z,23,FALSE)</f>
        <v>27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326</v>
      </c>
      <c r="B197" s="1" t="str">
        <f>VLOOKUP(A197,Xtal_Templ!A:B,2,FALSE)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INDEX(ICL3_classA!$G$2:$G$39,MATCH(MIN(ABS(AI197-ICL3_classA!$F$2:$F$39)),ABS(AI197-ICL3_classA!$F$2:$F$39),0))</f>
        <v>72</v>
      </c>
      <c r="U197" s="1">
        <f t="array" ref="U197">INDEX(ICL3_classA!$H$2:$H$39,MATCH(MIN(ABS(AI197-ICL3_classA!$F$2:$F$39)),ABS(AI197-ICL3_classA!$F$2:$F$39),0))</f>
        <v>24</v>
      </c>
      <c r="V197" s="1">
        <v>61</v>
      </c>
      <c r="W197" s="128">
        <f>VLOOKUP($B197&amp;"__wt",'SegEnds_Xtal_BW#'!$A:$Z,23,FALSE)</f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54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327</v>
      </c>
      <c r="B198" s="1" t="str">
        <f>VLOOKUP(A198,Xtal_Templ!A:B,2,FALSE)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INDEX(ICL3_classA!$G$2:$G$39,MATCH(MIN(ABS(AI198-ICL3_classA!$F$2:$F$39)),ABS(AI198-ICL3_classA!$F$2:$F$39),0))</f>
        <v>76</v>
      </c>
      <c r="U198" s="1">
        <f t="array" ref="U198">INDEX(ICL3_classA!$H$2:$H$39,MATCH(MIN(ABS(AI198-ICL3_classA!$F$2:$F$39)),ABS(AI198-ICL3_classA!$F$2:$F$39),0))</f>
        <v>24</v>
      </c>
      <c r="V198" s="1">
        <v>61</v>
      </c>
      <c r="W198" s="128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59</v>
      </c>
      <c r="AI198" s="1">
        <f>VLOOKUP(A198,'SegEnds_NonXtal_Prot#'!A:AL,31,FALSE)-VLOOKUP(A198,'SegEnds_NonXtal_Prot#'!A:AL,28,FALSE)</f>
        <v>160</v>
      </c>
      <c r="AJ198" s="1">
        <f>VLOOKUP(A198,'SegEnds_NonXtal_Prot#'!A:AL,34,FALSE)-VLOOKUP(A198,'SegEnds_NonXtal_Prot#'!A:AL,31,FALSE)</f>
        <v>39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328</v>
      </c>
      <c r="B199" s="1" t="str">
        <f>VLOOKUP(A199,Xtal_Templ!A:B,2,FALSE)</f>
        <v>npy1r_human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 t="str">
        <f>VLOOKUP($B199&amp;"__wt",'SegEnds_Xtal_BW#'!$A:$Z,14,FALSE)</f>
        <v>-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24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29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 t="e">
        <f>VLOOKUP(A199,'SegEnds_NonXtal_Prot#'!A:AL,22,FALSE)-VLOOKUP(A199,'SegEnds_NonXtal_Prot#'!A:AL,19,FALSE)</f>
        <v>#VALUE!</v>
      </c>
      <c r="AG199" s="1" t="e">
        <f>VLOOKUP(A199,'SegEnds_NonXtal_Prot#'!A:AL,28,FALSE)-VLOOKUP(A199,'SegEnds_NonXtal_Prot#'!A:AL,25,FALSE)</f>
        <v>#VALUE!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55</v>
      </c>
      <c r="AJ199" s="1" t="e">
        <f>VLOOKUP(A199,'SegEnds_NonXtal_Prot#'!A:AL,34,FALSE)-VLOOKUP(A199,'SegEnds_NonXtal_Prot#'!A:AL,31,FALSE)</f>
        <v>#VALUE!</v>
      </c>
      <c r="AK199" s="1" t="e">
        <f>VLOOKUP(A199,'SegEnds_NonXtal_Prot#'!A:AL,37,FALSE)-VLOOKUP(A199,'SegEnds_NonXtal_Prot#'!A:AL,34,FALSE)</f>
        <v>#VALUE!</v>
      </c>
      <c r="AL199" s="1" t="str">
        <f>IF(ISERROR(MATCH(A199,'SegEnds_Xtal_Prot#'!B:B, 0)), "NoXtal", "Xtal")</f>
        <v>NoXtal</v>
      </c>
    </row>
    <row r="200" spans="1:38" x14ac:dyDescent="0.2">
      <c r="A200" s="1" t="s">
        <v>1638</v>
      </c>
      <c r="B200" s="1" t="str">
        <f>VLOOKUP(A200,Xtal_Templ!A:B,2,FALSE)</f>
        <v>c5ar1_human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 t="str">
        <f>VLOOKUP($B200&amp;"__wt",'SegEnds_Xtal_BW#'!$A:$Z,5,FALSE)</f>
        <v>-</v>
      </c>
      <c r="F200" s="1" t="str">
        <f>VLOOKUP($B200&amp;"__wt",'SegEnds_Xtal_BW#'!$A:$Z,6,FALSE)</f>
        <v>-</v>
      </c>
      <c r="G200" s="1">
        <v>37</v>
      </c>
      <c r="H200" s="108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15">
        <v>35</v>
      </c>
      <c r="T200" s="1">
        <f t="array" ref="T200">INDEX(ICL3_classA!$G$2:$G$39,MATCH(MIN(ABS(AI200-ICL3_classA!$F$2:$F$39)),ABS(AI200-ICL3_classA!$F$2:$F$39),0))</f>
        <v>72</v>
      </c>
      <c r="U200" s="1">
        <f t="array" ref="U200">INDEX(ICL3_classA!$H$2:$H$39,MATCH(MIN(ABS(AI200-ICL3_classA!$F$2:$F$39)),ABS(AI200-ICL3_classA!$F$2:$F$39),0))</f>
        <v>23</v>
      </c>
      <c r="V200" s="108">
        <v>54</v>
      </c>
      <c r="W200" s="108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56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 t="e">
        <f>VLOOKUP(A200,'SegEnds_NonXtal_Prot#'!A:AL,13,FALSE)-VLOOKUP(A200,'SegEnds_NonXtal_Prot#'!A:AL,10,FALSE)</f>
        <v>#VALUE!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21</v>
      </c>
      <c r="AH200" s="1">
        <f>VLOOKUP(A200,'SegEnds_NonXtal_Prot#'!A:AL,28,FALSE)-VLOOKUP(A200,'SegEnds_NonXtal_Prot#'!A:AL,22,FALSE)</f>
        <v>61</v>
      </c>
      <c r="AI200" s="1">
        <f>VLOOKUP(A200,'SegEnds_NonXtal_Prot#'!A:AL,31,FALSE)-VLOOKUP(A200,'SegEnds_NonXtal_Prot#'!A:AL,28,FALSE)</f>
        <v>52</v>
      </c>
      <c r="AJ200" s="1">
        <f>VLOOKUP(A200,'SegEnds_NonXtal_Prot#'!A:AL,34,FALSE)-VLOOKUP(A200,'SegEnds_NonXtal_Prot#'!A:AL,31,FALSE)</f>
        <v>25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330</v>
      </c>
      <c r="B201" s="1" t="str">
        <f>VLOOKUP(A201,Xtal_Templ!A:B,2,FALSE)</f>
        <v>ptafr_human</v>
      </c>
      <c r="C201" s="5">
        <f>VLOOKUP($B201&amp;"__wt",'SegEnds_Xtal_BW#'!$A:$Z,3,FALSE)</f>
        <v>27</v>
      </c>
      <c r="D201" s="108">
        <v>60</v>
      </c>
      <c r="E201" s="108">
        <v>48</v>
      </c>
      <c r="F201" s="108"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INDEX(ICL3_classA!$G$2:$G$39,MATCH(MIN(ABS(AI201-ICL3_classA!$F$2:$F$39)),ABS(AI201-ICL3_classA!$F$2:$F$39),0))</f>
        <v>67</v>
      </c>
      <c r="U201" s="1">
        <f t="array" ref="U201">INDEX(ICL3_classA!$H$2:$H$39,MATCH(MIN(ABS(AI201-ICL3_classA!$F$2:$F$39)),ABS(AI201-ICL3_classA!$F$2:$F$39),0))</f>
        <v>26</v>
      </c>
      <c r="V201" s="1">
        <v>61</v>
      </c>
      <c r="W201" s="1">
        <v>28</v>
      </c>
      <c r="X201" s="1">
        <f>VLOOKUP($B201&amp;"__wt",'SegEnds_Xtal_BW#'!$A:$Z,24,FALSE)</f>
        <v>59</v>
      </c>
      <c r="Y201" s="1">
        <f>VLOOKUP($B201&amp;"__wt",'SegEnds_Xtal_BW#'!$A:$Z,25,FALSE)</f>
        <v>50</v>
      </c>
      <c r="Z201" s="1">
        <f>VLOOKUP($B201&amp;"__wt",'SegEnds_Xtal_BW#'!$A:$Z,26,FALSE)</f>
        <v>63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25</v>
      </c>
      <c r="AH201" s="1">
        <f>VLOOKUP(A201,'SegEnds_NonXtal_Prot#'!A:AL,28,FALSE)-VLOOKUP(A201,'SegEnds_NonXtal_Prot#'!A:AL,22,FALSE)</f>
        <v>51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331</v>
      </c>
      <c r="B202" s="1" t="str">
        <f>VLOOKUP(A202,Xtal_Templ!A:B,2,FALSE)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68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INDEX(ICL3_classA!$G$2:$G$39,MATCH(MIN(ABS(AI202-ICL3_classA!$F$2:$F$39)),ABS(AI202-ICL3_classA!$F$2:$F$39),0))</f>
        <v>73</v>
      </c>
      <c r="U202" s="1">
        <f t="array" ref="U202">INDEX(ICL3_classA!$H$2:$H$39,MATCH(MIN(ABS(AI202-ICL3_classA!$F$2:$F$39)),ABS(AI202-ICL3_classA!$F$2:$F$39),0))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332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68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INDEX(ICL3_classA!$G$2:$G$39,MATCH(MIN(ABS(AI203-ICL3_classA!$F$2:$F$39)),ABS(AI203-ICL3_classA!$F$2:$F$39),0))</f>
        <v>74</v>
      </c>
      <c r="U203" s="1">
        <f t="array" ref="U203">INDEX(ICL3_classA!$H$2:$H$39,MATCH(MIN(ABS(AI203-ICL3_classA!$F$2:$F$39)),ABS(AI203-ICL3_classA!$F$2:$F$39),0))</f>
        <v>21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26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64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333</v>
      </c>
      <c r="B204" s="1" t="str">
        <f>VLOOKUP(A204,Xtal_Templ!A:B,2,FALSE)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INDEX(ICL3_classA!$G$2:$G$39,MATCH(MIN(ABS(AI204-ICL3_classA!$F$2:$F$39)),ABS(AI204-ICL3_classA!$F$2:$F$39),0))</f>
        <v>73</v>
      </c>
      <c r="U204" s="1">
        <f t="array" ref="U204">INDEX(ICL3_classA!$H$2:$H$39,MATCH(MIN(ABS(AI204-ICL3_classA!$F$2:$F$39)),ABS(AI204-ICL3_classA!$F$2:$F$39),0))</f>
        <v>22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56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337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72</v>
      </c>
      <c r="U205" s="1">
        <f t="array" ref="U205">INDEX(ICL3_classA!$H$2:$H$39,MATCH(MIN(ABS(AI205-ICL3_classA!$F$2:$F$39)),ABS(AI205-ICL3_classA!$F$2:$F$39),0))</f>
        <v>23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915</v>
      </c>
      <c r="B206" s="1" t="str">
        <f>VLOOKUP(A206,Xtal_Templ!A:B,2,FALSE)</f>
        <v>opsd_bovin</v>
      </c>
      <c r="C206" s="5">
        <f>VLOOKUP($B206&amp;"__wt",'SegEnds_Xtal_BW#'!$A:$Z,3,FALSE)</f>
        <v>28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08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INDEX(ICL3_classA!$G$2:$G$39,MATCH(MIN(ABS(AI206-ICL3_classA!$F$2:$F$39)),ABS(AI206-ICL3_classA!$F$2:$F$39),0))</f>
        <v>72</v>
      </c>
      <c r="U206" s="1">
        <f t="array" ref="U206">INDEX(ICL3_classA!$H$2:$H$39,MATCH(MIN(ABS(AI206-ICL3_classA!$F$2:$F$39)),ABS(AI206-ICL3_classA!$F$2:$F$39),0))</f>
        <v>23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Xtal</v>
      </c>
    </row>
    <row r="207" spans="1:38" x14ac:dyDescent="0.2">
      <c r="A207" s="1" t="s">
        <v>338</v>
      </c>
      <c r="B207" s="1" t="str">
        <f>VLOOKUP(A207,Xtal_Templ!A:B,2,FALSE)</f>
        <v>opsd_human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08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72</v>
      </c>
      <c r="U207" s="1">
        <f t="array" ref="U207">INDEX(ICL3_classA!$H$2:$H$39,MATCH(MIN(ABS(AI207-ICL3_classA!$F$2:$F$39)),ABS(AI207-ICL3_classA!$F$2:$F$39),0))</f>
        <v>23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339</v>
      </c>
      <c r="B208" s="1" t="str">
        <f>VLOOKUP(A208,Xtal_Templ!A:B,2,FALSE)</f>
        <v>opsd_human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56</v>
      </c>
      <c r="O208" s="87">
        <f>VLOOKUP($B208&amp;"__wt",'SegEnds_Xtal_BW#'!$A:$Z,15,FALSE)</f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INDEX(ICL3_classA!$G$2:$G$39,MATCH(MIN(ABS(AI208-ICL3_classA!$F$2:$F$39)),ABS(AI208-ICL3_classA!$F$2:$F$39),0))</f>
        <v>72</v>
      </c>
      <c r="U208" s="1">
        <f t="array" ref="U208">INDEX(ICL3_classA!$H$2:$H$39,MATCH(MIN(ABS(AI208-ICL3_classA!$F$2:$F$39)),ABS(AI208-ICL3_classA!$F$2:$F$39),0))</f>
        <v>23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19</v>
      </c>
      <c r="AG208" s="1">
        <f>VLOOKUP(A208,'SegEnds_NonXtal_Prot#'!A:AL,28,FALSE)-VLOOKUP(A208,'SegEnds_NonXtal_Prot#'!A:AL,25,FALSE)</f>
        <v>28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52</v>
      </c>
      <c r="AJ208" s="1">
        <f>VLOOKUP(A208,'SegEnds_NonXtal_Prot#'!A:AL,34,FALSE)-VLOOKUP(A208,'SegEnds_NonXtal_Prot#'!A:AL,31,FALSE)</f>
        <v>36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340</v>
      </c>
      <c r="B209" s="1" t="str">
        <f>VLOOKUP(A209,Xtal_Templ!A:B,2,FALSE)</f>
        <v>opsd_human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56</v>
      </c>
      <c r="O209" s="87">
        <f>VLOOKUP($B209&amp;"__wt",'SegEnds_Xtal_BW#'!$A:$Z,15,FALSE)</f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INDEX(ICL3_classA!$G$2:$G$39,MATCH(MIN(ABS(AI209-ICL3_classA!$F$2:$F$39)),ABS(AI209-ICL3_classA!$F$2:$F$39),0))</f>
        <v>72</v>
      </c>
      <c r="U209" s="1">
        <f t="array" ref="U209">INDEX(ICL3_classA!$H$2:$H$39,MATCH(MIN(ABS(AI209-ICL3_classA!$F$2:$F$39)),ABS(AI209-ICL3_classA!$F$2:$F$39),0))</f>
        <v>23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19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19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54</v>
      </c>
      <c r="AI209" s="1">
        <f>VLOOKUP(A209,'SegEnds_NonXtal_Prot#'!A:AL,31,FALSE)-VLOOKUP(A209,'SegEnds_NonXtal_Prot#'!A:AL,28,FALSE)</f>
        <v>52</v>
      </c>
      <c r="AJ209" s="1">
        <f>VLOOKUP(A209,'SegEnds_NonXtal_Prot#'!A:AL,34,FALSE)-VLOOKUP(A209,'SegEnds_NonXtal_Prot#'!A:AL,31,FALSE)</f>
        <v>36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1633</v>
      </c>
      <c r="B210" s="1" t="str">
        <f>VLOOKUP(A210,Xtal_Templ!A:B,2,FALSE)</f>
        <v>ada2b_human</v>
      </c>
      <c r="C210" s="5">
        <f>VLOOKUP($B210&amp;"__wt",'SegEnds_Xtal_BW#'!$A:$Z,3,FALSE)</f>
        <v>31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08"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f>VLOOKUP($B210&amp;"__wt",'SegEnds_Xtal_BW#'!$A:$Z,11,FALSE)</f>
        <v>21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08"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08">
        <v>35</v>
      </c>
      <c r="T210" s="1">
        <f t="array" ref="T210">INDEX(ICL3_classA!$G$2:$G$39,MATCH(MIN(ABS(AI210-ICL3_classA!$F$2:$F$39)),ABS(AI210-ICL3_classA!$F$2:$F$39),0))</f>
        <v>72</v>
      </c>
      <c r="U210" s="1">
        <f t="array" ref="U210">INDEX(ICL3_classA!$H$2:$H$39,MATCH(MIN(ABS(AI210-ICL3_classA!$F$2:$F$39)),ABS(AI210-ICL3_classA!$F$2:$F$39),0))</f>
        <v>23</v>
      </c>
      <c r="V210" s="108">
        <v>54</v>
      </c>
      <c r="W210" s="108">
        <v>32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 t="e">
        <f>VLOOKUP(A210,'SegEnds_NonXtal_Prot#'!A:AL,13,FALSE)-VLOOKUP(A210,'SegEnds_NonXtal_Prot#'!A:AL,10,FALSE)</f>
        <v>#VALUE!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60</v>
      </c>
      <c r="AI210" s="1">
        <f>VLOOKUP(A210,'SegEnds_NonXtal_Prot#'!A:AL,31,FALSE)-VLOOKUP(A210,'SegEnds_NonXtal_Prot#'!A:AL,28,FALSE)</f>
        <v>52</v>
      </c>
      <c r="AJ210" s="1">
        <f>VLOOKUP(A210,'SegEnds_NonXtal_Prot#'!A:AL,34,FALSE)-VLOOKUP(A210,'SegEnds_NonXtal_Prot#'!A:AL,31,FALSE)</f>
        <v>24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1636</v>
      </c>
      <c r="B211" s="1" t="str">
        <f>VLOOKUP(A211,Xtal_Templ!A:B,2,FALSE)</f>
        <v>ccr2_human</v>
      </c>
      <c r="C211" s="5">
        <f>VLOOKUP($B211&amp;"__wt",'SegEnds_Xtal_BW#'!$A:$Z,3,FALSE)</f>
        <v>27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08"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f>VLOOKUP($B211&amp;"__wt",'SegEnds_Xtal_BW#'!$A:$Z,11,FALSE)</f>
        <v>21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08">
        <v>35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24</v>
      </c>
      <c r="V211" s="108">
        <v>54</v>
      </c>
      <c r="W211" s="108">
        <v>32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 t="e">
        <f>VLOOKUP(A211,'SegEnds_NonXtal_Prot#'!A:AL,13,FALSE)-VLOOKUP(A211,'SegEnds_NonXtal_Prot#'!A:AL,10,FALSE)</f>
        <v>#VALUE!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61</v>
      </c>
      <c r="AI211" s="1">
        <f>VLOOKUP(A211,'SegEnds_NonXtal_Prot#'!A:AL,31,FALSE)-VLOOKUP(A211,'SegEnds_NonXtal_Prot#'!A:AL,28,FALSE)</f>
        <v>53</v>
      </c>
      <c r="AJ211" s="1">
        <f>VLOOKUP(A211,'SegEnds_NonXtal_Prot#'!A:AL,34,FALSE)-VLOOKUP(A211,'SegEnds_NonXtal_Prot#'!A:AL,31,FALSE)</f>
        <v>24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1170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INDEX(ICL3_classA!$G$2:$G$39,MATCH(MIN(ABS(AI212-ICL3_classA!$F$2:$F$39)),ABS(AI212-ICL3_classA!$F$2:$F$39),0))</f>
        <v>76</v>
      </c>
      <c r="U212" s="1">
        <v>20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18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58</v>
      </c>
      <c r="AI212" s="12">
        <f>VLOOKUP(A212,'SegEnds_NonXtal_Prot#'!A:AL,31,FALSE)-VLOOKUP(A212,'SegEnds_NonXtal_Prot#'!A:AL,28,FALSE)</f>
        <v>86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2" t="str">
        <f>IF(ISERROR(MATCH(A212,'SegEnds_Xtal_Prot#'!B:B, 0)), "NoXtal", "Xtal")</f>
        <v>Xtal</v>
      </c>
    </row>
    <row r="213" spans="1:38" x14ac:dyDescent="0.2">
      <c r="A213" s="1" t="s">
        <v>1171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53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INDEX(ICL3_classA!$G$2:$G$39,MATCH(MIN(ABS(AI213-ICL3_classA!$F$2:$F$39)),ABS(AI213-ICL3_classA!$F$2:$F$39),0))</f>
        <v>76</v>
      </c>
      <c r="U213" s="1">
        <v>20</v>
      </c>
      <c r="V213" s="1">
        <v>61</v>
      </c>
      <c r="W213" s="108">
        <v>27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18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58</v>
      </c>
      <c r="AI213" s="12">
        <f>VLOOKUP(A213,'SegEnds_NonXtal_Prot#'!A:AL,31,FALSE)-VLOOKUP(A213,'SegEnds_NonXtal_Prot#'!A:AL,28,FALSE)</f>
        <v>84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2" t="str">
        <f>IF(ISERROR(MATCH(A213,'SegEnds_Xtal_Prot#'!B:B, 0)), "NoXtal", "Xtal")</f>
        <v>Xtal</v>
      </c>
    </row>
    <row r="214" spans="1:38" x14ac:dyDescent="0.2">
      <c r="A214" s="1" t="s">
        <v>341</v>
      </c>
      <c r="B214" s="1" t="str">
        <f>VLOOKUP(A214,Xtal_Templ!A:B,2,FALSE)</f>
        <v>pd2r2_human</v>
      </c>
      <c r="C214" s="5">
        <f>VLOOKUP($B214&amp;"__wt",'SegEnds_Xtal_BW#'!$A:$Z,3,FALSE)</f>
        <v>32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26</v>
      </c>
      <c r="T214" s="1">
        <f t="array" ref="T214">INDEX(ICL3_classA!$G$2:$G$39,MATCH(MIN(ABS(AI214-ICL3_classA!$F$2:$F$39)),ABS(AI214-ICL3_classA!$F$2:$F$39),0))</f>
        <v>67</v>
      </c>
      <c r="U214" s="1">
        <f t="array" ref="U214">INDEX(ICL3_classA!$H$2:$H$39,MATCH(MIN(ABS(AI214-ICL3_classA!$F$2:$F$39)),ABS(AI214-ICL3_classA!$F$2:$F$39),0))</f>
        <v>26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64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47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342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INDEX(ICL3_classA!$G$2:$G$39,MATCH(MIN(ABS(AI215-ICL3_classA!$F$2:$F$39)),ABS(AI215-ICL3_classA!$F$2:$F$39),0))</f>
        <v>67</v>
      </c>
      <c r="U215" s="1">
        <f t="array" ref="U215">INDEX(ICL3_classA!$H$2:$H$39,MATCH(MIN(ABS(AI215-ICL3_classA!$F$2:$F$39)),ABS(AI215-ICL3_classA!$F$2:$F$39),0))</f>
        <v>26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46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4" t="s">
        <v>343</v>
      </c>
      <c r="B216" s="4" t="str">
        <f>VLOOKUP(A216,Xtal_Templ!A:B,2,FALSE)</f>
        <v>oxyr_human</v>
      </c>
      <c r="C216" s="5">
        <f>VLOOKUP($B216&amp;"__wt",'SegEnds_Xtal_BW#'!$A:$Z,3,FALSE)</f>
        <v>28</v>
      </c>
      <c r="D216" s="4">
        <f>VLOOKUP($B216&amp;"__wt",'SegEnds_Xtal_BW#'!$A:$Z,4,FALSE)</f>
        <v>60</v>
      </c>
      <c r="E216" s="4">
        <f>VLOOKUP($B216&amp;"__wt",'SegEnds_Xtal_BW#'!$A:$Z,5,FALSE)</f>
        <v>48</v>
      </c>
      <c r="F216" s="4">
        <f>VLOOKUP($B216&amp;"__wt",'SegEnds_Xtal_BW#'!$A:$Z,6,FALSE)</f>
        <v>51</v>
      </c>
      <c r="G216" s="4">
        <v>37</v>
      </c>
      <c r="H216" s="12">
        <f>VLOOKUP($B216&amp;"__wt",'SegEnds_Xtal_BW#'!$A:$Z,8,FALSE)</f>
        <v>67</v>
      </c>
      <c r="I216" s="4">
        <f>VLOOKUP($B216&amp;"__wt",'SegEnds_Xtal_BW#'!$A:$Z,9,FALSE)</f>
        <v>49</v>
      </c>
      <c r="J216" s="4">
        <f>VLOOKUP($B216&amp;"__wt",'SegEnds_Xtal_BW#'!$A:$Z,10,FALSE)</f>
        <v>52</v>
      </c>
      <c r="K216" s="11">
        <v>18</v>
      </c>
      <c r="L216" s="4">
        <f>VLOOKUP($B216&amp;"__wt",'SegEnds_Xtal_BW#'!$A:$Z,12,FALSE)</f>
        <v>56</v>
      </c>
      <c r="M216" s="4" t="str">
        <f>VLOOKUP($B216&amp;"__wt",'SegEnds_Xtal_BW#'!$A:$Z,13,FALSE)</f>
        <v>-</v>
      </c>
      <c r="N216" s="11">
        <v>55</v>
      </c>
      <c r="O216" s="88">
        <v>38</v>
      </c>
      <c r="P216" s="4">
        <f>VLOOKUP($B216&amp;"__wt",'SegEnds_Xtal_BW#'!$A:$Z,16,FALSE)</f>
        <v>64</v>
      </c>
      <c r="Q216" s="4">
        <f>VLOOKUP($B216&amp;"__wt",'SegEnds_Xtal_BW#'!$A:$Z,17,FALSE)</f>
        <v>50</v>
      </c>
      <c r="R216" s="4">
        <f>VLOOKUP($B216&amp;"__wt",'SegEnds_Xtal_BW#'!$A:$Z,18,FALSE)</f>
        <v>52</v>
      </c>
      <c r="S216" s="4">
        <f>VLOOKUP($B216&amp;"__wt",'SegEnds_Xtal_BW#'!$A:$Z,19,FALSE)</f>
        <v>33</v>
      </c>
      <c r="T216" s="4">
        <f t="array" ref="T216">INDEX(ICL3_classA!$G$2:$G$39,MATCH(MIN(ABS(AI216-ICL3_classA!$F$2:$F$39)),ABS(AI216-ICL3_classA!$F$2:$F$39),0))</f>
        <v>76</v>
      </c>
      <c r="U216" s="4">
        <f t="array" ref="U216">INDEX(ICL3_classA!$H$2:$H$39,MATCH(MIN(ABS(AI216-ICL3_classA!$F$2:$F$39)),ABS(AI216-ICL3_classA!$F$2:$F$39),0))</f>
        <v>24</v>
      </c>
      <c r="V216" s="115">
        <v>60</v>
      </c>
      <c r="W216" s="115">
        <v>30</v>
      </c>
      <c r="X216" s="4">
        <f>VLOOKUP($B216&amp;"__wt",'SegEnds_Xtal_BW#'!$A:$Z,24,FALSE)</f>
        <v>56</v>
      </c>
      <c r="Y216" s="4">
        <f>VLOOKUP($B216&amp;"__wt",'SegEnds_Xtal_BW#'!$A:$Z,25,FALSE)</f>
        <v>47</v>
      </c>
      <c r="Z216" s="4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4">
        <f>VLOOKUP(A216,'SegEnds_NonXtal_Prot#'!A:AL,10,FALSE)-VLOOKUP(A216,'SegEnds_NonXtal_Prot#'!A:AL,7,FALSE)</f>
        <v>15</v>
      </c>
      <c r="AD216" s="4">
        <f>VLOOKUP(A216,'SegEnds_NonXtal_Prot#'!A:AL,13,FALSE)-VLOOKUP(A216,'SegEnds_NonXtal_Prot#'!A:AL,10,FALSE)</f>
        <v>20</v>
      </c>
      <c r="AE216" s="4">
        <f>VLOOKUP(A216,'SegEnds_NonXtal_Prot#'!A:AL,16,FALSE)-VLOOKUP(A216,'SegEnds_NonXtal_Prot#'!A:AL,10,FALSE)</f>
        <v>52</v>
      </c>
      <c r="AF216" s="1" t="e">
        <f>VLOOKUP(A216,'SegEnds_NonXtal_Prot#'!A:AL,22,FALSE)-VLOOKUP(A216,'SegEnds_NonXtal_Prot#'!A:AL,19,FALSE)</f>
        <v>#VALUE!</v>
      </c>
      <c r="AG216" s="4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51</v>
      </c>
      <c r="AI216" s="4">
        <f>VLOOKUP(A216,'SegEnds_NonXtal_Prot#'!A:AL,31,FALSE)-VLOOKUP(A216,'SegEnds_NonXtal_Prot#'!A:AL,28,FALSE)</f>
        <v>78</v>
      </c>
      <c r="AJ216" s="4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344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v>68</v>
      </c>
      <c r="U217" s="1">
        <v>28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53</v>
      </c>
      <c r="AI217" s="1">
        <f>VLOOKUP(A217,'SegEnds_NonXtal_Prot#'!A:AL,31,FALSE)-VLOOKUP(A217,'SegEnds_NonXtal_Prot#'!A:AL,28,FALSE)</f>
        <v>46</v>
      </c>
      <c r="AJ217" s="1">
        <f>VLOOKUP(A217,'SegEnds_NonXtal_Prot#'!A:AL,34,FALSE)-VLOOKUP(A217,'SegEnds_NonXtal_Prot#'!A:AL,31,FALSE)</f>
        <v>46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345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INDEX(ICL3_classA!$G$2:$G$39,MATCH(MIN(ABS(AI218-ICL3_classA!$F$2:$F$39)),ABS(AI218-ICL3_classA!$F$2:$F$39),0))</f>
        <v>72</v>
      </c>
      <c r="U218" s="1">
        <f t="array" ref="U218">INDEX(ICL3_classA!$H$2:$H$39,MATCH(MIN(ABS(AI218-ICL3_classA!$F$2:$F$39)),ABS(AI218-ICL3_classA!$F$2:$F$39),0))</f>
        <v>29</v>
      </c>
      <c r="V218" s="1">
        <v>61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50</v>
      </c>
      <c r="AJ218" s="1">
        <f>VLOOKUP(A218,'SegEnds_NonXtal_Prot#'!A:AL,34,FALSE)-VLOOKUP(A218,'SegEnds_NonXtal_Prot#'!A:AL,31,FALSE)</f>
        <v>43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346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24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48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347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58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INDEX(ICL3_classA!$G$2:$G$39,MATCH(MIN(ABS(AI220-ICL3_classA!$F$2:$F$39)),ABS(AI220-ICL3_classA!$F$2:$F$39),0))</f>
        <v>72</v>
      </c>
      <c r="U220" s="1">
        <f t="array" ref="U220">INDEX(ICL3_classA!$H$2:$H$39,MATCH(MIN(ABS(AI220-ICL3_classA!$F$2:$F$39)),ABS(AI220-ICL3_classA!$F$2:$F$39),0))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21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348</v>
      </c>
      <c r="B221" s="1" t="str">
        <f>VLOOKUP(A221,Xtal_Templ!A:B,2,FALSE)</f>
        <v>par2_human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47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62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INDEX(ICL3_classA!$G$2:$G$39,MATCH(MIN(ABS(AI221-ICL3_classA!$F$2:$F$39)),ABS(AI221-ICL3_classA!$F$2:$F$39),0))</f>
        <v>67</v>
      </c>
      <c r="U221" s="1">
        <f t="array" ref="U221">INDEX(ICL3_classA!$H$2:$H$39,MATCH(MIN(ABS(AI221-ICL3_classA!$F$2:$F$39)),ABS(AI221-ICL3_classA!$F$2:$F$39),0))</f>
        <v>26</v>
      </c>
      <c r="V221" s="1">
        <v>61</v>
      </c>
      <c r="W221" s="128">
        <f>VLOOKUP($B221&amp;"__wt",'SegEnds_Xtal_BW#'!$A:$Z,23,FALSE)</f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30</v>
      </c>
      <c r="AH221" s="1">
        <f>VLOOKUP(A221,'SegEnds_NonXtal_Prot#'!A:AL,28,FALSE)-VLOOKUP(A221,'SegEnds_NonXtal_Prot#'!A:AL,22,FALSE)</f>
        <v>57</v>
      </c>
      <c r="AI221" s="1">
        <f>VLOOKUP(A221,'SegEnds_NonXtal_Prot#'!A:AL,31,FALSE)-VLOOKUP(A221,'SegEnds_NonXtal_Prot#'!A:AL,28,FALSE)</f>
        <v>47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350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INDEX(ICL3_classA!$G$2:$G$39,MATCH(MIN(ABS(AI222-ICL3_classA!$F$2:$F$39)),ABS(AI222-ICL3_classA!$F$2:$F$39),0))</f>
        <v>67</v>
      </c>
      <c r="U222" s="1">
        <f t="array" ref="U222">INDEX(ICL3_classA!$H$2:$H$39,MATCH(MIN(ABS(AI222-ICL3_classA!$F$2:$F$39)),ABS(AI222-ICL3_classA!$F$2:$F$39),0))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29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63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55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351</v>
      </c>
      <c r="B223" s="1" t="str">
        <f>VLOOKUP(A223,Xtal_Templ!A:B,2,FALSE)</f>
        <v>p2y12_human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 t="str">
        <f>VLOOKUP($B223&amp;"__wt",'SegEnds_Xtal_BW#'!$A:$Z,9,FALSE)</f>
        <v>-</v>
      </c>
      <c r="J223" s="1" t="str">
        <f>VLOOKUP($B223&amp;"__wt",'SegEnds_Xtal_BW#'!$A:$Z,10,FALSE)</f>
        <v>-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INDEX(ICL3_classA!$G$2:$G$39,MATCH(MIN(ABS(AI223-ICL3_classA!$F$2:$F$39)),ABS(AI223-ICL3_classA!$F$2:$F$39),0))</f>
        <v>72</v>
      </c>
      <c r="U223" s="1">
        <f t="array" ref="U223">INDEX(ICL3_classA!$H$2:$H$39,MATCH(MIN(ABS(AI223-ICL3_classA!$F$2:$F$39)),ABS(AI223-ICL3_classA!$F$2:$F$39),0))</f>
        <v>29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57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27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52</v>
      </c>
      <c r="AI223" s="1">
        <f>VLOOKUP(A223,'SegEnds_NonXtal_Prot#'!A:AL,31,FALSE)-VLOOKUP(A223,'SegEnds_NonXtal_Prot#'!A:AL,28,FALSE)</f>
        <v>50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352</v>
      </c>
      <c r="B224" s="1" t="str">
        <f>VLOOKUP(A224,Xtal_Templ!A:B,2,FALSE)</f>
        <v>p2y12_human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 t="str">
        <f>VLOOKUP($B224&amp;"__wt",'SegEnds_Xtal_BW#'!$A:$Z,9,FALSE)</f>
        <v>-</v>
      </c>
      <c r="J224" s="1" t="str">
        <f>VLOOKUP($B224&amp;"__wt",'SegEnds_Xtal_BW#'!$A:$Z,10,FALSE)</f>
        <v>-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30</v>
      </c>
      <c r="T224" s="1">
        <f t="array" ref="T224">INDEX(ICL3_classA!$G$2:$G$39,MATCH(MIN(ABS(AI224-ICL3_classA!$F$2:$F$39)),ABS(AI224-ICL3_classA!$F$2:$F$39),0))</f>
        <v>72</v>
      </c>
      <c r="U224" s="1">
        <f t="array" ref="U224">INDEX(ICL3_classA!$H$2:$H$39,MATCH(MIN(ABS(AI224-ICL3_classA!$F$2:$F$39)),ABS(AI224-ICL3_classA!$F$2:$F$39),0))</f>
        <v>29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57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26</v>
      </c>
      <c r="AH224" s="1">
        <f>VLOOKUP(A224,'SegEnds_NonXtal_Prot#'!A:AL,28,FALSE)-VLOOKUP(A224,'SegEnds_NonXtal_Prot#'!A:AL,22,FALSE)</f>
        <v>52</v>
      </c>
      <c r="AI224" s="1">
        <f>VLOOKUP(A224,'SegEnds_NonXtal_Prot#'!A:AL,31,FALSE)-VLOOKUP(A224,'SegEnds_NonXtal_Prot#'!A:AL,28,FALSE)</f>
        <v>50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353</v>
      </c>
      <c r="B225" s="1" t="str">
        <f>VLOOKUP(A225,Xtal_Templ!A:B,2,FALSE)</f>
        <v>p2y12_human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 t="str">
        <f>VLOOKUP($B225&amp;"__wt",'SegEnds_Xtal_BW#'!$A:$Z,9,FALSE)</f>
        <v>-</v>
      </c>
      <c r="J225" s="1" t="str">
        <f>VLOOKUP($B225&amp;"__wt",'SegEnds_Xtal_BW#'!$A:$Z,10,FALSE)</f>
        <v>-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INDEX(ICL3_classA!$G$2:$G$39,MATCH(MIN(ABS(AI225-ICL3_classA!$F$2:$F$39)),ABS(AI225-ICL3_classA!$F$2:$F$39),0))</f>
        <v>72</v>
      </c>
      <c r="U225" s="1">
        <f t="array" ref="U225">INDEX(ICL3_classA!$H$2:$H$39,MATCH(MIN(ABS(AI225-ICL3_classA!$F$2:$F$39)),ABS(AI225-ICL3_classA!$F$2:$F$39),0))</f>
        <v>29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 t="e">
        <f>VLOOKUP(A225,'SegEnds_NonXtal_Prot#'!A:AL,13,FALSE)-VLOOKUP(A225,'SegEnds_NonXtal_Prot#'!A:AL,10,FALSE)</f>
        <v>#VALUE!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44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354</v>
      </c>
      <c r="B226" s="1" t="str">
        <f>VLOOKUP(A226,Xtal_Templ!A:B,2,FALSE)</f>
        <v>par1_human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67</v>
      </c>
      <c r="U226" s="1">
        <f t="array" ref="U226">INDEX(ICL3_classA!$H$2:$H$39,MATCH(MIN(ABS(AI226-ICL3_classA!$F$2:$F$39)),ABS(AI226-ICL3_classA!$F$2:$F$39),0))</f>
        <v>26</v>
      </c>
      <c r="V226" s="1">
        <v>62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355</v>
      </c>
      <c r="B227" s="1" t="str">
        <f>VLOOKUP(A227,Xtal_Templ!A:B,2,FALSE)</f>
        <v>par2_human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47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31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24</v>
      </c>
      <c r="V227" s="1">
        <v>62</v>
      </c>
      <c r="W227" s="128">
        <f>VLOOKUP($B227&amp;"__wt",'SegEnds_Xtal_BW#'!$A:$Z,23,FALSE)</f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48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356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INDEX(ICL3_classA!$G$2:$G$39,MATCH(MIN(ABS(AI228-ICL3_classA!$F$2:$F$39)),ABS(AI228-ICL3_classA!$F$2:$F$39),0))</f>
        <v>68</v>
      </c>
      <c r="U228" s="1">
        <f t="array" ref="U228">INDEX(ICL3_classA!$H$2:$H$39,MATCH(MIN(ABS(AI228-ICL3_classA!$F$2:$F$39)),ABS(AI228-ICL3_classA!$F$2:$F$39),0))</f>
        <v>30</v>
      </c>
      <c r="V228" s="1">
        <v>62</v>
      </c>
      <c r="W228" s="128">
        <f>VLOOKUP($B228&amp;"__wt",'SegEnds_Xtal_BW#'!$A:$Z,23,FALSE)</f>
        <v>31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27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22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42</v>
      </c>
      <c r="AJ228" s="1">
        <f>VLOOKUP(A228,'SegEnds_NonXtal_Prot#'!A:AL,34,FALSE)-VLOOKUP(A228,'SegEnds_NonXtal_Prot#'!A:AL,31,FALSE)</f>
        <v>39</v>
      </c>
      <c r="AK228" s="1" t="e">
        <f>VLOOKUP(A228,'SegEnds_NonXtal_Prot#'!A:AL,37,FALSE)-VLOOKUP(A228,'SegEnds_NonXtal_Prot#'!A:AL,34,FALSE)</f>
        <v>#VALUE!</v>
      </c>
      <c r="AL228" s="1" t="str">
        <f>IF(ISERROR(MATCH(A228,'SegEnds_Xtal_Prot#'!B:B, 0)), "NoXtal", "Xtal")</f>
        <v>NoXtal</v>
      </c>
    </row>
    <row r="229" spans="1:38" x14ac:dyDescent="0.2">
      <c r="A229" s="1" t="s">
        <v>357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30</v>
      </c>
      <c r="V229" s="1">
        <v>62</v>
      </c>
      <c r="W229" s="128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27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42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359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61</v>
      </c>
      <c r="W230" s="108">
        <v>27</v>
      </c>
      <c r="X230" s="123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36</v>
      </c>
      <c r="AH230" s="1">
        <f>VLOOKUP(A230,'SegEnds_NonXtal_Prot#'!A:AL,28,FALSE)-VLOOKUP(A230,'SegEnds_NonXtal_Prot#'!A:AL,22,FALSE)</f>
        <v>62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40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363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28">
        <f>VLOOKUP($B231&amp;"__wt",'SegEnds_Xtal_BW#'!$A:$Z,23,FALSE)</f>
        <v>33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51</v>
      </c>
      <c r="AI231" s="1">
        <f>VLOOKUP(A231,'SegEnds_NonXtal_Prot#'!A:AL,31,FALSE)-VLOOKUP(A231,'SegEnds_NonXtal_Prot#'!A:AL,28,FALSE)</f>
        <v>92</v>
      </c>
      <c r="AJ231" s="1">
        <f>VLOOKUP(A231,'SegEnds_NonXtal_Prot#'!A:AL,34,FALSE)-VLOOKUP(A231,'SegEnds_NonXtal_Prot#'!A:AL,31,FALSE)</f>
        <v>39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369</v>
      </c>
      <c r="B232" s="1" t="str">
        <f>VLOOKUP(A232,Xtal_Templ!A:B,2,FALSE)</f>
        <v>ptafr_human</v>
      </c>
      <c r="C232" s="5">
        <f>VLOOKUP($B232&amp;"__wt",'SegEnds_Xtal_BW#'!$A:$Z,3,FALSE)</f>
        <v>27</v>
      </c>
      <c r="D232" s="1">
        <f>VLOOKUP($B232&amp;"__wt",'SegEnds_Xtal_BW#'!$A:$Z,4,FALSE)</f>
        <v>61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63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33</v>
      </c>
      <c r="T232" s="1">
        <f t="array" ref="T232">INDEX(ICL3_classA!$G$2:$G$39,MATCH(MIN(ABS(AI232-ICL3_classA!$F$2:$F$39)),ABS(AI232-ICL3_classA!$F$2:$F$39),0))</f>
        <v>67</v>
      </c>
      <c r="U232" s="1">
        <f t="array" ref="U232">INDEX(ICL3_classA!$H$2:$H$39,MATCH(MIN(ABS(AI232-ICL3_classA!$F$2:$F$39)),ABS(AI232-ICL3_classA!$F$2:$F$39),0))</f>
        <v>26</v>
      </c>
      <c r="V232" s="1">
        <v>64</v>
      </c>
      <c r="W232" s="1">
        <v>24</v>
      </c>
      <c r="X232" s="1">
        <f>VLOOKUP($B232&amp;"__wt",'SegEnds_Xtal_BW#'!$A:$Z,24,FALSE)</f>
        <v>59</v>
      </c>
      <c r="Y232" s="1">
        <f>VLOOKUP($B232&amp;"__wt",'SegEnds_Xtal_BW#'!$A:$Z,25,FALSE)</f>
        <v>50</v>
      </c>
      <c r="Z232" s="1">
        <f>VLOOKUP($B232&amp;"__wt",'SegEnds_Xtal_BW#'!$A:$Z,26,FALSE)</f>
        <v>63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56</v>
      </c>
      <c r="AI232" s="1">
        <f>VLOOKUP(A232,'SegEnds_NonXtal_Prot#'!A:AL,31,FALSE)-VLOOKUP(A232,'SegEnds_NonXtal_Prot#'!A:AL,28,FALSE)</f>
        <v>46</v>
      </c>
      <c r="AJ232" s="1">
        <f>VLOOKUP(A232,'SegEnds_NonXtal_Prot#'!A:AL,34,FALSE)-VLOOKUP(A232,'SegEnds_NonXtal_Prot#'!A:AL,31,FALSE)</f>
        <v>46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370</v>
      </c>
      <c r="B233" s="1" t="str">
        <f>VLOOKUP(A233,Xtal_Templ!A:B,2,FALSE)</f>
        <v>ptafr_human</v>
      </c>
      <c r="C233" s="5">
        <f>VLOOKUP($B233&amp;"__wt",'SegEnds_Xtal_BW#'!$A:$Z,3,FALSE)</f>
        <v>27</v>
      </c>
      <c r="D233" s="1">
        <f>VLOOKUP($B233&amp;"__wt",'SegEnds_Xtal_BW#'!$A:$Z,4,FALSE)</f>
        <v>61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08">
        <v>36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33</v>
      </c>
      <c r="T233" s="1">
        <f t="array" ref="T233">INDEX(ICL3_classA!$G$2:$G$39,MATCH(MIN(ABS(AI233-ICL3_classA!$F$2:$F$39)),ABS(AI233-ICL3_classA!$F$2:$F$39),0))</f>
        <v>68</v>
      </c>
      <c r="U233" s="1">
        <f t="array" ref="U233">INDEX(ICL3_classA!$H$2:$H$39,MATCH(MIN(ABS(AI233-ICL3_classA!$F$2:$F$39)),ABS(AI233-ICL3_classA!$F$2:$F$39),0))</f>
        <v>24</v>
      </c>
      <c r="V233" s="108">
        <v>64</v>
      </c>
      <c r="W233" s="1">
        <v>24</v>
      </c>
      <c r="X233" s="1">
        <f>VLOOKUP($B233&amp;"__wt",'SegEnds_Xtal_BW#'!$A:$Z,24,FALSE)</f>
        <v>59</v>
      </c>
      <c r="Y233" s="1">
        <f>VLOOKUP($B233&amp;"__wt",'SegEnds_Xtal_BW#'!$A:$Z,25,FALSE)</f>
        <v>50</v>
      </c>
      <c r="Z233" s="1">
        <f>VLOOKUP($B233&amp;"__wt",'SegEnds_Xtal_BW#'!$A:$Z,26,FALSE)</f>
        <v>63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30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25</v>
      </c>
      <c r="AH233" s="1">
        <f>VLOOKUP(A233,'SegEnds_NonXtal_Prot#'!A:AL,28,FALSE)-VLOOKUP(A233,'SegEnds_NonXtal_Prot#'!A:AL,22,FALSE)</f>
        <v>56</v>
      </c>
      <c r="AI233" s="1">
        <f>VLOOKUP(A233,'SegEnds_NonXtal_Prot#'!A:AL,31,FALSE)-VLOOKUP(A233,'SegEnds_NonXtal_Prot#'!A:AL,28,FALSE)</f>
        <v>49</v>
      </c>
      <c r="AJ233" s="1">
        <f>VLOOKUP(A233,'SegEnds_NonXtal_Prot#'!A:AL,34,FALSE)-VLOOKUP(A233,'SegEnds_NonXtal_Prot#'!A:AL,31,FALSE)</f>
        <v>43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371</v>
      </c>
      <c r="B234" s="1" t="str">
        <f>VLOOKUP(A234,Xtal_Templ!A:B,2,FALSE)</f>
        <v>ox2r_human</v>
      </c>
      <c r="C234" s="5">
        <f>VLOOKUP($B234&amp;"__wt",'SegEnds_Xtal_BW#'!$A:$Z,3,FALSE)</f>
        <v>31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33</v>
      </c>
      <c r="T234" s="1">
        <f t="array" ref="T234">INDEX(ICL3_classA!$G$2:$G$39,MATCH(MIN(ABS(AI234-ICL3_classA!$F$2:$F$39)),ABS(AI234-ICL3_classA!$F$2:$F$39),0))</f>
        <v>74</v>
      </c>
      <c r="U234" s="1">
        <f t="array" ref="U234">INDEX(ICL3_classA!$H$2:$H$39,MATCH(MIN(ABS(AI234-ICL3_classA!$F$2:$F$39)),ABS(AI234-ICL3_classA!$F$2:$F$39),0))</f>
        <v>21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63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56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41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372</v>
      </c>
      <c r="B235" s="1" t="str">
        <f>VLOOKUP(A235,Xtal_Templ!A:B,2,FALSE)</f>
        <v>agtr1_human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INDEX(ICL3_classA!$G$2:$G$39,MATCH(MIN(ABS(AI235-ICL3_classA!$F$2:$F$39)),ABS(AI235-ICL3_classA!$F$2:$F$39),0))</f>
        <v>74</v>
      </c>
      <c r="U235" s="1">
        <f t="array" ref="U235">INDEX(ICL3_classA!$H$2:$H$39,MATCH(MIN(ABS(AI235-ICL3_classA!$F$2:$F$39)),ABS(AI235-ICL3_classA!$F$2:$F$39),0))</f>
        <v>21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 t="e">
        <f>VLOOKUP(A235,'SegEnds_NonXtal_Prot#'!A:AL,22,FALSE)-VLOOKUP(A235,'SegEnds_NonXtal_Prot#'!A:AL,19,FALSE)</f>
        <v>#VALUE!</v>
      </c>
      <c r="AG235" s="1">
        <f>VLOOKUP(A235,'SegEnds_NonXtal_Prot#'!A:AL,28,FALSE)-VLOOKUP(A235,'SegEnds_NonXtal_Prot#'!A:AL,25,FALSE)</f>
        <v>32</v>
      </c>
      <c r="AH235" s="1">
        <f>VLOOKUP(A235,'SegEnds_NonXtal_Prot#'!A:AL,28,FALSE)-VLOOKUP(A235,'SegEnds_NonXtal_Prot#'!A:AL,22,FALSE)</f>
        <v>57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45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373</v>
      </c>
      <c r="B236" s="1" t="str">
        <f>VLOOKUP(A236,Xtal_Templ!A:B,2,FALSE)</f>
        <v>oprd_human</v>
      </c>
      <c r="C236" s="5">
        <f>VLOOKUP($B236&amp;"__wt",'SegEnds_Xtal_BW#'!$A:$Z,3,FALSE)</f>
        <v>22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INDEX(ICL3_classA!$G$2:$G$39,MATCH(MIN(ABS(AI236-ICL3_classA!$F$2:$F$39)),ABS(AI236-ICL3_classA!$F$2:$F$39),0))</f>
        <v>67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60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30</v>
      </c>
      <c r="AC236" s="1">
        <f>VLOOKUP(A236,'SegEnds_NonXtal_Prot#'!A:AL,10,FALSE)-VLOOKUP(A236,'SegEnds_NonXtal_Prot#'!A:AL,7,FALSE)</f>
        <v>16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45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386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INDEX(ICL3_classA!$G$2:$G$39,MATCH(MIN(ABS(AI237-ICL3_classA!$F$2:$F$39)),ABS(AI237-ICL3_classA!$F$2:$F$39),0))</f>
        <v>74</v>
      </c>
      <c r="U237" s="1">
        <f t="array" ref="U237">INDEX(ICL3_classA!$H$2:$H$39,MATCH(MIN(ABS(AI237-ICL3_classA!$F$2:$F$39)),ABS(AI237-ICL3_classA!$F$2:$F$39),0))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20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387</v>
      </c>
      <c r="B238" s="1" t="str">
        <f>VLOOKUP(A238,Xtal_Templ!A:B,2,FALSE)</f>
        <v>ada2a_human</v>
      </c>
      <c r="C238" s="5">
        <f>VLOOKUP($B238&amp;"__wt",'SegEnds_Xtal_BW#'!$A:$Z,3,FALSE)</f>
        <v>32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f>VLOOKUP($B238&amp;"__wt",'SegEnds_Xtal_BW#'!$A:$Z,15,FALSE)</f>
        <v>38</v>
      </c>
      <c r="P238" s="1">
        <f>VLOOKUP($B238&amp;"__wt",'SegEnds_Xtal_BW#'!$A:$Z,16,FALSE)</f>
        <v>62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INDEX(ICL3_classA!$G$2:$G$39,MATCH(MIN(ABS(AI238-ICL3_classA!$F$2:$F$39)),ABS(AI238-ICL3_classA!$F$2:$F$39),0))</f>
        <v>73</v>
      </c>
      <c r="U238" s="1">
        <f t="array" ref="U238">INDEX(ICL3_classA!$H$2:$H$39,MATCH(MIN(ABS(AI238-ICL3_classA!$F$2:$F$39)),ABS(AI238-ICL3_classA!$F$2:$F$39),0))</f>
        <v>22</v>
      </c>
      <c r="V238" s="1">
        <v>61</v>
      </c>
      <c r="W238" s="1">
        <v>31</v>
      </c>
      <c r="X238" s="108">
        <v>56</v>
      </c>
      <c r="Y238" s="1">
        <f>VLOOKUP($B238&amp;"__wt",'SegEnds_Xtal_BW#'!$A:$Z,25,FALSE)</f>
        <v>47</v>
      </c>
      <c r="Z238" s="1">
        <f>VLOOKUP($B238&amp;"__wt",'SegEnds_Xtal_BW#'!$A:$Z,26,FALSE)</f>
        <v>60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56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388</v>
      </c>
      <c r="B239" s="1" t="str">
        <f>VLOOKUP(A239,Xtal_Templ!A:B,2,FALSE)</f>
        <v>drd2_human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62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INDEX(ICL3_classA!$G$2:$G$39,MATCH(MIN(ABS(AI239-ICL3_classA!$F$2:$F$39)),ABS(AI239-ICL3_classA!$F$2:$F$39),0))</f>
        <v>74</v>
      </c>
      <c r="U239" s="1">
        <f t="array" ref="U239">INDEX(ICL3_classA!$H$2:$H$39,MATCH(MIN(ABS(AI239-ICL3_classA!$F$2:$F$39)),ABS(AI239-ICL3_classA!$F$2:$F$39),0))</f>
        <v>21</v>
      </c>
      <c r="V239" s="1">
        <v>61</v>
      </c>
      <c r="W239" s="1">
        <v>31</v>
      </c>
      <c r="X239" s="108"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20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62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389</v>
      </c>
      <c r="B240" s="1" t="str">
        <f>VLOOKUP(A240,Xtal_Templ!A:B,2,FALSE)</f>
        <v>5ht1b_human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INDEX(ICL3_classA!$G$2:$G$39,MATCH(MIN(ABS(AI240-ICL3_classA!$F$2:$F$39)),ABS(AI240-ICL3_classA!$F$2:$F$39),0))</f>
        <v>73</v>
      </c>
      <c r="U240" s="1">
        <f t="array" ref="U240">INDEX(ICL3_classA!$H$2:$H$39,MATCH(MIN(ABS(AI240-ICL3_classA!$F$2:$F$39)),ABS(AI240-ICL3_classA!$F$2:$F$39),0))</f>
        <v>22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19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56</v>
      </c>
      <c r="AJ240" s="1">
        <f>VLOOKUP(A240,'SegEnds_NonXtal_Prot#'!A:AL,34,FALSE)-VLOOKUP(A240,'SegEnds_NonXtal_Prot#'!A:AL,31,FALSE)</f>
        <v>35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390</v>
      </c>
      <c r="B241" s="1" t="str">
        <f>VLOOKUP(A241,Xtal_Templ!A:B,2,FALSE)</f>
        <v>5ht1b_human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INDEX(ICL3_classA!$G$2:$G$39,MATCH(MIN(ABS(AI241-ICL3_classA!$F$2:$F$39)),ABS(AI241-ICL3_classA!$F$2:$F$39),0))</f>
        <v>74</v>
      </c>
      <c r="U241" s="1">
        <f t="array" ref="U241">INDEX(ICL3_classA!$H$2:$H$39,MATCH(MIN(ABS(AI241-ICL3_classA!$F$2:$F$39)),ABS(AI241-ICL3_classA!$F$2:$F$39),0))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19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391</v>
      </c>
      <c r="B242" s="1" t="str">
        <f>VLOOKUP(A242,Xtal_Templ!A:B,2,FALSE)</f>
        <v>5ht1b_human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INDEX(ICL3_classA!$G$2:$G$39,MATCH(MIN(ABS(AI242-ICL3_classA!$F$2:$F$39)),ABS(AI242-ICL3_classA!$F$2:$F$39),0))</f>
        <v>74</v>
      </c>
      <c r="U242" s="1">
        <f t="array" ref="U242">INDEX(ICL3_classA!$H$2:$H$39,MATCH(MIN(ABS(AI242-ICL3_classA!$F$2:$F$39)),ABS(AI242-ICL3_classA!$F$2:$F$39),0))</f>
        <v>21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19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64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392</v>
      </c>
      <c r="B243" s="1" t="str">
        <f>VLOOKUP(A243,Xtal_Templ!A:B,2,FALSE)</f>
        <v>5ht1b_human</v>
      </c>
      <c r="C243" s="5">
        <f>VLOOKUP($B243&amp;"__wt",'SegEnds_Xtal_BW#'!$A:$Z,3,FALSE)</f>
        <v>28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INDEX(ICL3_classA!$G$2:$G$39,MATCH(MIN(ABS(AI243-ICL3_classA!$F$2:$F$39)),ABS(AI243-ICL3_classA!$F$2:$F$39),0))</f>
        <v>74</v>
      </c>
      <c r="U243" s="1">
        <f t="array" ref="U243">INDEX(ICL3_classA!$H$2:$H$39,MATCH(MIN(ABS(AI243-ICL3_classA!$F$2:$F$39)),ABS(AI243-ICL3_classA!$F$2:$F$39),0))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19</v>
      </c>
      <c r="AH243" s="1">
        <f>VLOOKUP(A243,'SegEnds_NonXtal_Prot#'!A:AL,28,FALSE)-VLOOKUP(A243,'SegEnds_NonXtal_Prot#'!A:AL,22,FALSE)</f>
        <v>52</v>
      </c>
      <c r="AI243" s="1">
        <f>VLOOKUP(A243,'SegEnds_NonXtal_Prot#'!A:AL,31,FALSE)-VLOOKUP(A243,'SegEnds_NonXtal_Prot#'!A:AL,28,FALSE)</f>
        <v>64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393</v>
      </c>
      <c r="B244" s="1" t="str">
        <f>VLOOKUP(A244,Xtal_Templ!A:B,2,FALSE)</f>
        <v>oprx_human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INDEX(ICL3_classA!$G$2:$G$39,MATCH(MIN(ABS(AI244-ICL3_classA!$F$2:$F$39)),ABS(AI244-ICL3_classA!$F$2:$F$39),0))</f>
        <v>76</v>
      </c>
      <c r="U244" s="1">
        <f t="array" ref="U244">INDEX(ICL3_classA!$H$2:$H$39,MATCH(MIN(ABS(AI244-ICL3_classA!$F$2:$F$39)),ABS(AI244-ICL3_classA!$F$2:$F$39),0))</f>
        <v>24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24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78</v>
      </c>
      <c r="AJ244" s="1">
        <f>VLOOKUP(A244,'SegEnds_NonXtal_Prot#'!A:AL,34,FALSE)-VLOOKUP(A244,'SegEnds_NonXtal_Prot#'!A:AL,31,FALSE)</f>
        <v>36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396</v>
      </c>
      <c r="B245" s="1" t="str">
        <f>VLOOKUP(A245,Xtal_Templ!A:B,2,FALSE)</f>
        <v>oxyr_human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08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 t="str">
        <f>VLOOKUP($B245&amp;"__wt",'SegEnds_Xtal_BW#'!$A:$Z,13,FALSE)</f>
        <v>-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76</v>
      </c>
      <c r="U245" s="1">
        <f t="array" ref="U245">INDEX(ICL3_classA!$H$2:$H$39,MATCH(MIN(ABS(AI245-ICL3_classA!$F$2:$F$39)),ABS(AI245-ICL3_classA!$F$2:$F$39),0))</f>
        <v>24</v>
      </c>
      <c r="V245" s="1">
        <v>61</v>
      </c>
      <c r="W245" s="128">
        <f>VLOOKUP($B245&amp;"__wt",'SegEnds_Xtal_BW#'!$A:$Z,23,FALSE)</f>
        <v>30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53</v>
      </c>
      <c r="AI245" s="1">
        <f>VLOOKUP(A245,'SegEnds_NonXtal_Prot#'!A:AL,31,FALSE)-VLOOKUP(A245,'SegEnds_NonXtal_Prot#'!A:AL,28,FALSE)</f>
        <v>78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397</v>
      </c>
      <c r="B246" s="1" t="str">
        <f>VLOOKUP(A246,Xtal_Templ!A:B,2,FALSE)</f>
        <v>oxyr_human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08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 t="str">
        <f>VLOOKUP($B246&amp;"__wt",'SegEnds_Xtal_BW#'!$A:$Z,13,FALSE)</f>
        <v>-</v>
      </c>
      <c r="N246" s="108">
        <v>56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INDEX(ICL3_classA!$G$2:$G$39,MATCH(MIN(ABS(AI246-ICL3_classA!$F$2:$F$39)),ABS(AI246-ICL3_classA!$F$2:$F$39),0))</f>
        <v>76</v>
      </c>
      <c r="U246" s="1">
        <f t="array" ref="U246">INDEX(ICL3_classA!$H$2:$H$39,MATCH(MIN(ABS(AI246-ICL3_classA!$F$2:$F$39)),ABS(AI246-ICL3_classA!$F$2:$F$39),0))</f>
        <v>24</v>
      </c>
      <c r="V246" s="1">
        <v>61</v>
      </c>
      <c r="W246" s="128">
        <f>VLOOKUP($B246&amp;"__wt",'SegEnds_Xtal_BW#'!$A:$Z,23,FALSE)</f>
        <v>30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19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85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398</v>
      </c>
      <c r="B247" s="1" t="str">
        <f>VLOOKUP(A247,Xtal_Templ!A:B,2,FALSE)</f>
        <v>oxyr_human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 t="str">
        <f>VLOOKUP($B247&amp;"__wt",'SegEnds_Xtal_BW#'!$A:$Z,13,FALSE)</f>
        <v>-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INDEX(ICL3_classA!$G$2:$G$39,MATCH(MIN(ABS(AI247-ICL3_classA!$F$2:$F$39)),ABS(AI247-ICL3_classA!$F$2:$F$39),0))</f>
        <v>76</v>
      </c>
      <c r="U247" s="1">
        <f t="array" ref="U247">INDEX(ICL3_classA!$H$2:$H$39,MATCH(MIN(ABS(AI247-ICL3_classA!$F$2:$F$39)),ABS(AI247-ICL3_classA!$F$2:$F$39),0))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63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30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69</v>
      </c>
      <c r="AJ247" s="1">
        <f>VLOOKUP(A247,'SegEnds_NonXtal_Prot#'!A:AL,34,FALSE)-VLOOKUP(A247,'SegEnds_NonXtal_Prot#'!A:AL,31,FALSE)</f>
        <v>36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132</v>
      </c>
      <c r="B248" s="1" t="str">
        <f>VLOOKUP(A248,Xtal_Templ!A:B,2,FALSE)</f>
        <v>5ht2a_human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67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INDEX(ICL3_classA!$G$2:$G$39,MATCH(MIN(ABS(AI248-ICL3_classA!$F$2:$F$39)),ABS(AI248-ICL3_classA!$F$2:$F$39),0))</f>
        <v>76</v>
      </c>
      <c r="U248" s="1">
        <f t="array" ref="U248">INDEX(ICL3_classA!$H$2:$H$39,MATCH(MIN(ABS(AI248-ICL3_classA!$F$2:$F$39)),ABS(AI248-ICL3_classA!$F$2:$F$39),0))</f>
        <v>24</v>
      </c>
      <c r="V248" s="1">
        <v>61</v>
      </c>
      <c r="W248" s="128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19</v>
      </c>
      <c r="AH248" s="1">
        <f>VLOOKUP(A248,'SegEnds_NonXtal_Prot#'!A:AL,28,FALSE)-VLOOKUP(A248,'SegEnds_NonXtal_Prot#'!A:AL,22,FALSE)</f>
        <v>46</v>
      </c>
      <c r="AI248" s="1">
        <f>VLOOKUP(A248,'SegEnds_NonXtal_Prot#'!A:AL,31,FALSE)-VLOOKUP(A248,'SegEnds_NonXtal_Prot#'!A:AL,28,FALSE)</f>
        <v>92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Xtal</v>
      </c>
    </row>
    <row r="249" spans="1:38" x14ac:dyDescent="0.2">
      <c r="A249" s="1" t="s">
        <v>35</v>
      </c>
      <c r="B249" s="1" t="str">
        <f>VLOOKUP(A249,Xtal_Templ!A:B,2,FALSE)</f>
        <v>5ht2b_human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INDEX(ICL3_classA!$G$2:$G$39,MATCH(MIN(ABS(AI249-ICL3_classA!$F$2:$F$39)),ABS(AI249-ICL3_classA!$F$2:$F$39),0))</f>
        <v>76</v>
      </c>
      <c r="U249" s="1">
        <f t="array" ref="U249">INDEX(ICL3_classA!$H$2:$H$39,MATCH(MIN(ABS(AI249-ICL3_classA!$F$2:$F$39)),ABS(AI249-ICL3_classA!$F$2:$F$39),0))</f>
        <v>24</v>
      </c>
      <c r="V249" s="1">
        <v>61</v>
      </c>
      <c r="W249" s="128">
        <v>27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49</v>
      </c>
      <c r="AI249" s="1">
        <f>VLOOKUP(A249,'SegEnds_NonXtal_Prot#'!A:AL,31,FALSE)-VLOOKUP(A249,'SegEnds_NonXtal_Prot#'!A:AL,28,FALSE)</f>
        <v>110</v>
      </c>
      <c r="AJ249" s="1">
        <f>VLOOKUP(A249,'SegEnds_NonXtal_Prot#'!A:AL,34,FALSE)-VLOOKUP(A249,'SegEnds_NonXtal_Prot#'!A:AL,31,FALSE)</f>
        <v>38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133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INDEX(ICL3_classA!$G$2:$G$39,MATCH(MIN(ABS(AI250-ICL3_classA!$F$2:$F$39)),ABS(AI250-ICL3_classA!$F$2:$F$39),0))</f>
        <v>74</v>
      </c>
      <c r="U250" s="1">
        <f t="array" ref="U250">INDEX(ICL3_classA!$H$2:$H$39,MATCH(MIN(ABS(AI250-ICL3_classA!$F$2:$F$39)),ABS(AI250-ICL3_classA!$F$2:$F$39),0))</f>
        <v>24</v>
      </c>
      <c r="V250" s="1">
        <v>61</v>
      </c>
      <c r="W250" s="128">
        <v>27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47</v>
      </c>
      <c r="AI250" s="1">
        <f>VLOOKUP(A250,'SegEnds_NonXtal_Prot#'!A:AL,31,FALSE)-VLOOKUP(A250,'SegEnds_NonXtal_Prot#'!A:AL,28,FALSE)</f>
        <v>100</v>
      </c>
      <c r="AJ250" s="1">
        <f>VLOOKUP(A250,'SegEnds_NonXtal_Prot#'!A:AL,34,FALSE)-VLOOKUP(A250,'SegEnds_NonXtal_Prot#'!A:AL,31,FALSE)</f>
        <v>39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135</v>
      </c>
      <c r="B251" s="1" t="str">
        <f>VLOOKUP(A251,Xtal_Templ!A:B,2,FALSE)</f>
        <v>5ht1b_human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INDEX(ICL3_classA!$G$2:$G$39,MATCH(MIN(ABS(AI251-ICL3_classA!$F$2:$F$39)),ABS(AI251-ICL3_classA!$F$2:$F$39),0))</f>
        <v>76</v>
      </c>
      <c r="U251" s="1">
        <f t="array" ref="U251">INDEX(ICL3_classA!$H$2:$H$39,MATCH(MIN(ABS(AI251-ICL3_classA!$F$2:$F$39)),ABS(AI251-ICL3_classA!$F$2:$F$39),0))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21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46</v>
      </c>
      <c r="AI251" s="1">
        <f>VLOOKUP(A251,'SegEnds_NonXtal_Prot#'!A:AL,31,FALSE)-VLOOKUP(A251,'SegEnds_NonXtal_Prot#'!A:AL,28,FALSE)</f>
        <v>88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137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INDEX(ICL3_classA!$G$2:$G$39,MATCH(MIN(ABS(AI252-ICL3_classA!$F$2:$F$39)),ABS(AI252-ICL3_classA!$F$2:$F$39),0))</f>
        <v>76</v>
      </c>
      <c r="U252" s="1">
        <f t="array" ref="U252">INDEX(ICL3_classA!$H$2:$H$39,MATCH(MIN(ABS(AI252-ICL3_classA!$F$2:$F$39)),ABS(AI252-ICL3_classA!$F$2:$F$39),0))</f>
        <v>24</v>
      </c>
      <c r="V252" s="1">
        <v>61</v>
      </c>
      <c r="W252" s="128">
        <v>27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44</v>
      </c>
      <c r="AI252" s="1">
        <f>VLOOKUP(A252,'SegEnds_NonXtal_Prot#'!A:AL,31,FALSE)-VLOOKUP(A252,'SegEnds_NonXtal_Prot#'!A:AL,28,FALSE)</f>
        <v>91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192</v>
      </c>
      <c r="B253" s="1" t="str">
        <f>VLOOKUP(A253,Xtal_Templ!A:B,2,FALSE)</f>
        <v>drd3_human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INDEX(ICL3_classA!$G$2:$G$39,MATCH(MIN(ABS(AI253-ICL3_classA!$F$2:$F$39)),ABS(AI253-ICL3_classA!$F$2:$F$39),0))</f>
        <v>76</v>
      </c>
      <c r="U253" s="1">
        <f t="array" ref="U253">INDEX(ICL3_classA!$H$2:$H$39,MATCH(MIN(ABS(AI253-ICL3_classA!$F$2:$F$39)),ABS(AI253-ICL3_classA!$F$2:$F$39),0))</f>
        <v>24</v>
      </c>
      <c r="V253" s="1">
        <f>VLOOKUP($B253&amp;"__wt",'SegEnds_Xtal_BW#'!$A:$Z,22,FALSE)</f>
        <v>60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23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42</v>
      </c>
      <c r="AI253" s="1">
        <f>VLOOKUP(A253,'SegEnds_NonXtal_Prot#'!A:AL,31,FALSE)-VLOOKUP(A253,'SegEnds_NonXtal_Prot#'!A:AL,28,FALSE)</f>
        <v>144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193</v>
      </c>
      <c r="B254" s="1" t="str">
        <f>VLOOKUP(A254,Xtal_Templ!A:B,2,FALSE)</f>
        <v>drd4_human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38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19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INDEX(ICL3_classA!$G$2:$G$39,MATCH(MIN(ABS(AI254-ICL3_classA!$F$2:$F$39)),ABS(AI254-ICL3_classA!$F$2:$F$39),0))</f>
        <v>75</v>
      </c>
      <c r="U254" s="1">
        <f t="array" ref="U254">INDEX(ICL3_classA!$H$2:$H$39,MATCH(MIN(ABS(AI254-ICL3_classA!$F$2:$F$39)),ABS(AI254-ICL3_classA!$F$2:$F$39),0))</f>
        <v>24</v>
      </c>
      <c r="V254" s="1">
        <f>VLOOKUP($B254&amp;"__wt",'SegEnds_Xtal_BW#'!$A:$Z,22,FALSE)</f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21</v>
      </c>
      <c r="AE254" s="1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19</v>
      </c>
      <c r="AH254" s="1">
        <f>VLOOKUP(A254,'SegEnds_NonXtal_Prot#'!A:AL,28,FALSE)-VLOOKUP(A254,'SegEnds_NonXtal_Prot#'!A:AL,22,FALSE)</f>
        <v>44</v>
      </c>
      <c r="AI254" s="1">
        <f>VLOOKUP(A254,'SegEnds_NonXtal_Prot#'!A:AL,31,FALSE)-VLOOKUP(A254,'SegEnds_NonXtal_Prot#'!A:AL,28,FALSE)</f>
        <v>205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Xtal</v>
      </c>
    </row>
    <row r="255" spans="1:38" x14ac:dyDescent="0.2">
      <c r="A255" s="1" t="s">
        <v>1690</v>
      </c>
      <c r="B255" s="1" t="str">
        <f>VLOOKUP(A255,Xtal_Templ!A:B,2,FALSE)</f>
        <v>drd4_mouse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39</v>
      </c>
      <c r="H255" s="12">
        <f>VLOOKUP($B255&amp;"__wt",'SegEnds_Xtal_BW#'!$A:$Z,8,FALSE)</f>
        <v>68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20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53</v>
      </c>
      <c r="O255" s="87">
        <f>VLOOKUP($B255&amp;"__wt",'SegEnds_Xtal_BW#'!$A:$Z,15,FALSE)</f>
        <v>36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INDEX(ICL3_classA!$G$2:$G$39,MATCH(MIN(ABS(AI255-ICL3_classA!$F$2:$F$39)),ABS(AI255-ICL3_classA!$F$2:$F$39),0))</f>
        <v>76</v>
      </c>
      <c r="U255" s="1">
        <f t="array" ref="U255">INDEX(ICL3_classA!$H$2:$H$39,MATCH(MIN(ABS(AI255-ICL3_classA!$F$2:$F$39)),ABS(AI255-ICL3_classA!$F$2:$F$39),0))</f>
        <v>24</v>
      </c>
      <c r="V255" s="1">
        <f>VLOOKUP($B255&amp;"__wt",'SegEnds_Xtal_BW#'!$A:$Z,22,FALSE)</f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19</v>
      </c>
      <c r="AH255" s="1">
        <f>VLOOKUP(A255,'SegEnds_NonXtal_Prot#'!A:AL,28,FALSE)-VLOOKUP(A255,'SegEnds_NonXtal_Prot#'!A:AL,22,FALSE)</f>
        <v>44</v>
      </c>
      <c r="AI255" s="1">
        <f>VLOOKUP(A255,'SegEnds_NonXtal_Prot#'!A:AL,31,FALSE)-VLOOKUP(A255,'SegEnds_NonXtal_Prot#'!A:AL,28,FALSE)</f>
        <v>130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Xtal</v>
      </c>
    </row>
    <row r="256" spans="1:38" x14ac:dyDescent="0.2">
      <c r="A256" s="1" t="s">
        <v>215</v>
      </c>
      <c r="B256" s="1" t="str">
        <f>VLOOKUP(A256,Xtal_Templ!A:B,2,FALSE)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INDEX(ICL3_classA!$G$2:$G$39,MATCH(MIN(ABS(AI256-ICL3_classA!$F$2:$F$39)),ABS(AI256-ICL3_classA!$F$2:$F$39),0))</f>
        <v>68</v>
      </c>
      <c r="U256" s="1">
        <f t="array" ref="U256">INDEX(ICL3_classA!$H$2:$H$39,MATCH(MIN(ABS(AI256-ICL3_classA!$F$2:$F$39)),ABS(AI256-ICL3_classA!$F$2:$F$39),0))</f>
        <v>24</v>
      </c>
      <c r="V256" s="1">
        <v>61</v>
      </c>
      <c r="W256" s="128">
        <f>VLOOKUP($B256&amp;"__wt",'SegEnds_Xtal_BW#'!$A:$Z,23,FALSE)</f>
        <v>27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217</v>
      </c>
      <c r="B257" s="1" t="str">
        <f>VLOOKUP(A257,Xtal_Templ!A:B,2,FALSE)</f>
        <v>5ht2a_human</v>
      </c>
      <c r="C257" s="5">
        <f>VLOOKUP($B257&amp;"__wt",'SegEnds_Xtal_BW#'!$A:$Z,3,FALSE)</f>
        <v>27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108">
        <v>38</v>
      </c>
      <c r="P257" s="1">
        <f>VLOOKUP($B257&amp;"__wt",'SegEnds_Xtal_BW#'!$A:$Z,16,FALSE)</f>
        <v>67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INDEX(ICL3_classA!$G$2:$G$39,MATCH(MIN(ABS(AI257-ICL3_classA!$F$2:$F$39)),ABS(AI257-ICL3_classA!$F$2:$F$39),0))</f>
        <v>67</v>
      </c>
      <c r="U257" s="1">
        <f t="array" ref="U257">INDEX(ICL3_classA!$H$2:$H$39,MATCH(MIN(ABS(AI257-ICL3_classA!$F$2:$F$39)),ABS(AI257-ICL3_classA!$F$2:$F$39),0))</f>
        <v>26</v>
      </c>
      <c r="V257" s="1">
        <v>61</v>
      </c>
      <c r="W257" s="128">
        <f>VLOOKUP($B257&amp;"__wt",'SegEnds_Xtal_BW#'!$A:$Z,23,FALSE)</f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60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229</v>
      </c>
      <c r="B258" s="1" t="str">
        <f>VLOOKUP(A258,Xtal_Templ!A:B,2,FALSE)</f>
        <v>5ht2a_human</v>
      </c>
      <c r="C258" s="5">
        <f>VLOOKUP($B258&amp;"__wt",'SegEnds_Xtal_BW#'!$A:$Z,3,FALSE)</f>
        <v>27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67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INDEX(ICL3_classA!$G$2:$G$39,MATCH(MIN(ABS(AI258-ICL3_classA!$F$2:$F$39)),ABS(AI258-ICL3_classA!$F$2:$F$39),0))</f>
        <v>74</v>
      </c>
      <c r="U258" s="1">
        <f t="array" ref="U258">INDEX(ICL3_classA!$H$2:$H$39,MATCH(MIN(ABS(AI258-ICL3_classA!$F$2:$F$39)),ABS(AI258-ICL3_classA!$F$2:$F$39),0))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60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21</v>
      </c>
      <c r="AE258" s="1">
        <f>VLOOKUP(A258,'SegEnds_NonXtal_Prot#'!A:AL,16,FALSE)-VLOOKUP(A258,'SegEnds_NonXtal_Prot#'!A:AL,10,FALSE)</f>
        <v>53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61</v>
      </c>
      <c r="AH258" s="1">
        <f>VLOOKUP(A258,'SegEnds_NonXtal_Prot#'!A:AL,28,FALSE)-VLOOKUP(A258,'SegEnds_NonXtal_Prot#'!A:AL,22,FALSE)</f>
        <v>87</v>
      </c>
      <c r="AI258" s="1">
        <f>VLOOKUP(A258,'SegEnds_NonXtal_Prot#'!A:AL,31,FALSE)-VLOOKUP(A258,'SegEnds_NonXtal_Prot#'!A:AL,28,FALSE)</f>
        <v>66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265</v>
      </c>
      <c r="B259" s="1" t="str">
        <f>VLOOKUP(A259,Xtal_Templ!A:B,2,FALSE)</f>
        <v>ccr9_human</v>
      </c>
      <c r="C259" s="5">
        <f>VLOOKUP($B259&amp;"__wt",'SegEnds_Xtal_BW#'!$A:$Z,3,FALSE)</f>
        <v>27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56</v>
      </c>
      <c r="O259" s="87">
        <f>VLOOKUP($B259&amp;"__wt",'SegEnds_Xtal_BW#'!$A:$Z,15,FALSE)</f>
        <v>35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33</v>
      </c>
      <c r="T259" s="1">
        <f t="array" ref="T259">INDEX(ICL3_classA!$G$2:$G$39,MATCH(MIN(ABS(AI259-ICL3_classA!$F$2:$F$39)),ABS(AI259-ICL3_classA!$F$2:$F$39),0))</f>
        <v>76</v>
      </c>
      <c r="U259" s="1">
        <f t="array" ref="U259">INDEX(ICL3_classA!$H$2:$H$39,MATCH(MIN(ABS(AI259-ICL3_classA!$F$2:$F$39)),ABS(AI259-ICL3_classA!$F$2:$F$39),0))</f>
        <v>24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67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30</v>
      </c>
      <c r="AC259" s="1">
        <f>VLOOKUP(A259,'SegEnds_NonXtal_Prot#'!A:AL,10,FALSE)-VLOOKUP(A259,'SegEnds_NonXtal_Prot#'!A:AL,7,FALSE)</f>
        <v>15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53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45</v>
      </c>
      <c r="AI259" s="1">
        <f>VLOOKUP(A259,'SegEnds_NonXtal_Prot#'!A:AL,31,FALSE)-VLOOKUP(A259,'SegEnds_NonXtal_Prot#'!A:AL,28,FALSE)</f>
        <v>122</v>
      </c>
      <c r="AJ259" s="1">
        <f>VLOOKUP(A259,'SegEnds_NonXtal_Prot#'!A:AL,34,FALSE)-VLOOKUP(A259,'SegEnds_NonXtal_Prot#'!A:AL,31,FALSE)</f>
        <v>37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270</v>
      </c>
      <c r="B260" s="1" t="str">
        <f>VLOOKUP(A260,Xtal_Templ!A:B,2,FALSE)</f>
        <v>5ht2c_human</v>
      </c>
      <c r="C260" s="5">
        <f>VLOOKUP($B260&amp;"__wt",'SegEnds_Xtal_BW#'!$A:$Z,3,FALSE)</f>
        <v>33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61</v>
      </c>
      <c r="AH260" s="1">
        <f>VLOOKUP(A260,'SegEnds_NonXtal_Prot#'!A:AL,28,FALSE)-VLOOKUP(A260,'SegEnds_NonXtal_Prot#'!A:AL,22,FALSE)</f>
        <v>87</v>
      </c>
      <c r="AI260" s="1">
        <f>VLOOKUP(A260,'SegEnds_NonXtal_Prot#'!A:AL,31,FALSE)-VLOOKUP(A260,'SegEnds_NonXtal_Prot#'!A:AL,28,FALSE)</f>
        <v>67</v>
      </c>
      <c r="AJ260" s="1">
        <f>VLOOKUP(A260,'SegEnds_NonXtal_Prot#'!A:AL,34,FALSE)-VLOOKUP(A260,'SegEnds_NonXtal_Prot#'!A:AL,31,FALSE)</f>
        <v>36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293</v>
      </c>
      <c r="B261" s="1" t="str">
        <f>VLOOKUP(A261,Xtal_Templ!A:B,2,FALSE)</f>
        <v>agtr1_human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34</v>
      </c>
      <c r="T261" s="1">
        <f t="array" ref="T261">INDEX(ICL3_classA!$G$2:$G$39,MATCH(MIN(ABS(AI261-ICL3_classA!$F$2:$F$39)),ABS(AI261-ICL3_classA!$F$2:$F$39),0))</f>
        <v>68</v>
      </c>
      <c r="U261" s="1">
        <f t="array" ref="U261">INDEX(ICL3_classA!$H$2:$H$39,MATCH(MIN(ABS(AI261-ICL3_classA!$F$2:$F$39)),ABS(AI261-ICL3_classA!$F$2:$F$39),0))</f>
        <v>30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53</v>
      </c>
      <c r="AF261" s="1">
        <f>VLOOKUP(A261,'SegEnds_NonXtal_Prot#'!A:AL,22,FALSE)-VLOOKUP(A261,'SegEnds_NonXtal_Prot#'!A:AL,19,FALSE)</f>
        <v>20</v>
      </c>
      <c r="AG261" s="1" t="e">
        <f>VLOOKUP(A261,'SegEnds_NonXtal_Prot#'!A:AL,28,FALSE)-VLOOKUP(A261,'SegEnds_NonXtal_Prot#'!A:AL,25,FALSE)</f>
        <v>#VALUE!</v>
      </c>
      <c r="AH261" s="1">
        <f>VLOOKUP(A261,'SegEnds_NonXtal_Prot#'!A:AL,28,FALSE)-VLOOKUP(A261,'SegEnds_NonXtal_Prot#'!A:AL,22,FALSE)</f>
        <v>44</v>
      </c>
      <c r="AI261" s="1">
        <f>VLOOKUP(A261,'SegEnds_NonXtal_Prot#'!A:AL,31,FALSE)-VLOOKUP(A261,'SegEnds_NonXtal_Prot#'!A:AL,28,FALSE)</f>
        <v>42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4" t="s">
        <v>317</v>
      </c>
      <c r="B262" s="4" t="str">
        <f>VLOOKUP(A262,Xtal_Templ!A:B,2,FALSE)</f>
        <v>ghsr_human</v>
      </c>
      <c r="C262" s="5">
        <f>VLOOKUP($B262&amp;"__wt",'SegEnds_Xtal_BW#'!$A:$Z,3,FALSE)</f>
        <v>28</v>
      </c>
      <c r="D262" s="4">
        <f>VLOOKUP($B262&amp;"__wt",'SegEnds_Xtal_BW#'!$A:$Z,4,FALSE)</f>
        <v>60</v>
      </c>
      <c r="E262" s="4">
        <f>VLOOKUP($B262&amp;"__wt",'SegEnds_Xtal_BW#'!$A:$Z,5,FALSE)</f>
        <v>48</v>
      </c>
      <c r="F262" s="4">
        <f>VLOOKUP($B262&amp;"__wt",'SegEnds_Xtal_BW#'!$A:$Z,6,FALSE)</f>
        <v>51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18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1">
        <v>57</v>
      </c>
      <c r="O262" s="87">
        <f>VLOOKUP($B262&amp;"__wt",'SegEnds_Xtal_BW#'!$A:$Z,15,FALSE)</f>
        <v>38</v>
      </c>
      <c r="P262" s="4">
        <f>VLOOKUP($B262&amp;"__wt",'SegEnds_Xtal_BW#'!$A:$Z,16,FALSE)</f>
        <v>64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34</v>
      </c>
      <c r="T262" s="4">
        <f t="array" ref="T262">INDEX(ICL3_classA!$G$2:$G$39,MATCH(MIN(ABS(AI262-ICL3_classA!$F$2:$F$39)),ABS(AI262-ICL3_classA!$F$2:$F$39),0))</f>
        <v>76</v>
      </c>
      <c r="U262" s="4">
        <f t="array" ref="U262">INDEX(ICL3_classA!$H$2:$H$39,MATCH(MIN(ABS(AI262-ICL3_classA!$F$2:$F$39)),ABS(AI262-ICL3_classA!$F$2:$F$39),0))</f>
        <v>24</v>
      </c>
      <c r="V262" s="4">
        <v>61</v>
      </c>
      <c r="W262" s="4">
        <v>28</v>
      </c>
      <c r="X262" s="4">
        <f>VLOOKUP($B262&amp;"__wt",'SegEnds_Xtal_BW#'!$A:$Z,24,FALSE)</f>
        <v>56</v>
      </c>
      <c r="Y262" s="4">
        <f>VLOOKUP($B262&amp;"__wt",'SegEnds_Xtal_BW#'!$A:$Z,25,FALSE)</f>
        <v>47</v>
      </c>
      <c r="Z262" s="4">
        <f>VLOOKUP($B262&amp;"__wt",'SegEnds_Xtal_BW#'!$A:$Z,26,FALSE)</f>
        <v>62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>
        <f>VLOOKUP(A262,'SegEnds_NonXtal_Prot#'!A:AL,10,FALSE)-VLOOKUP(A262,'SegEnds_NonXtal_Prot#'!A:AL,7,FALSE)</f>
        <v>15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20</v>
      </c>
      <c r="AG262" s="4">
        <f>VLOOKUP(A262,'SegEnds_NonXtal_Prot#'!A:AL,28,FALSE)-VLOOKUP(A262,'SegEnds_NonXtal_Prot#'!A:AL,25,FALSE)</f>
        <v>24</v>
      </c>
      <c r="AH262" s="1">
        <f>VLOOKUP(A262,'SegEnds_NonXtal_Prot#'!A:AL,28,FALSE)-VLOOKUP(A262,'SegEnds_NonXtal_Prot#'!A:AL,22,FALSE)</f>
        <v>57</v>
      </c>
      <c r="AI262" s="4">
        <f>VLOOKUP(A262,'SegEnds_NonXtal_Prot#'!A:AL,31,FALSE)-VLOOKUP(A262,'SegEnds_NonXtal_Prot#'!A:AL,28,FALSE)</f>
        <v>69</v>
      </c>
      <c r="AJ262" s="4">
        <f>VLOOKUP(A262,'SegEnds_NonXtal_Prot#'!A:AL,34,FALSE)-VLOOKUP(A262,'SegEnds_NonXtal_Prot#'!A:AL,31,FALSE)</f>
        <v>41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318</v>
      </c>
      <c r="B263" s="1" t="str">
        <f>VLOOKUP(A263,Xtal_Templ!A:B,2,FALSE)</f>
        <v>ghsr_human</v>
      </c>
      <c r="C263" s="5">
        <f>VLOOKUP($B263&amp;"__wt",'SegEnds_Xtal_BW#'!$A:$Z,3,FALSE)</f>
        <v>28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34</v>
      </c>
      <c r="T263" s="1">
        <f t="array" ref="T263">INDEX(ICL3_classA!$G$2:$G$39,MATCH(MIN(ABS(AI263-ICL3_classA!$F$2:$F$39)),ABS(AI263-ICL3_classA!$F$2:$F$39),0))</f>
        <v>73</v>
      </c>
      <c r="U263" s="1">
        <f t="array" ref="U263">INDEX(ICL3_classA!$H$2:$H$39,MATCH(MIN(ABS(AI263-ICL3_classA!$F$2:$F$39)),ABS(AI263-ICL3_classA!$F$2:$F$39),0))</f>
        <v>22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19</v>
      </c>
      <c r="AE263" s="1">
        <f>VLOOKUP(A263,'SegEnds_NonXtal_Prot#'!A:AL,16,FALSE)-VLOOKUP(A263,'SegEnds_NonXtal_Prot#'!A:AL,10,FALSE)</f>
        <v>53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57</v>
      </c>
      <c r="AI263" s="1">
        <f>VLOOKUP(A263,'SegEnds_NonXtal_Prot#'!A:AL,31,FALSE)-VLOOKUP(A263,'SegEnds_NonXtal_Prot#'!A:AL,28,FALSE)</f>
        <v>55</v>
      </c>
      <c r="AJ263" s="1">
        <f>VLOOKUP(A263,'SegEnds_NonXtal_Prot#'!A:AL,34,FALSE)-VLOOKUP(A263,'SegEnds_NonXtal_Prot#'!A:AL,31,FALSE)</f>
        <v>41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917</v>
      </c>
      <c r="B264" s="1" t="str">
        <f>VLOOKUP(A264,Xtal_Templ!A:B,2,FALSE)</f>
        <v>opsd_todpa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69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62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21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21</v>
      </c>
      <c r="AE264" s="1">
        <f>VLOOKUP(A264,'SegEnds_NonXtal_Prot#'!A:AL,16,FALSE)-VLOOKUP(A264,'SegEnds_NonXtal_Prot#'!A:AL,10,FALSE)</f>
        <v>53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26</v>
      </c>
      <c r="AH264" s="1">
        <f>VLOOKUP(A264,'SegEnds_NonXtal_Prot#'!A:AL,28,FALSE)-VLOOKUP(A264,'SegEnds_NonXtal_Prot#'!A:AL,22,FALSE)</f>
        <v>52</v>
      </c>
      <c r="AI264" s="1">
        <f>VLOOKUP(A264,'SegEnds_NonXtal_Prot#'!A:AL,31,FALSE)-VLOOKUP(A264,'SegEnds_NonXtal_Prot#'!A:AL,28,FALSE)</f>
        <v>64</v>
      </c>
      <c r="AJ264" s="1">
        <f>VLOOKUP(A264,'SegEnds_NonXtal_Prot#'!A:AL,34,FALSE)-VLOOKUP(A264,'SegEnds_NonXtal_Prot#'!A:AL,31,FALSE)</f>
        <v>36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Xtal</v>
      </c>
    </row>
    <row r="265" spans="1:38" x14ac:dyDescent="0.2">
      <c r="A265" s="4" t="s">
        <v>368</v>
      </c>
      <c r="B265" s="4" t="str">
        <f>VLOOKUP(A265,Xtal_Templ!A:B,2,FALSE)</f>
        <v>ox2r_human</v>
      </c>
      <c r="C265" s="5">
        <f>VLOOKUP($B265&amp;"__wt",'SegEnds_Xtal_BW#'!$A:$Z,3,FALSE)</f>
        <v>31</v>
      </c>
      <c r="D265" s="4">
        <f>VLOOKUP($B265&amp;"__wt",'SegEnds_Xtal_BW#'!$A:$Z,4,FALSE)</f>
        <v>60</v>
      </c>
      <c r="E265" s="4">
        <f>VLOOKUP($B265&amp;"__wt",'SegEnds_Xtal_BW#'!$A:$Z,5,FALSE)</f>
        <v>48</v>
      </c>
      <c r="F265" s="4">
        <f>VLOOKUP($B265&amp;"__wt",'SegEnds_Xtal_BW#'!$A:$Z,6,FALSE)</f>
        <v>51</v>
      </c>
      <c r="G265" s="4">
        <v>37</v>
      </c>
      <c r="H265" s="11">
        <f>VLOOKUP($B265&amp;"__wt",'SegEnds_Xtal_BW#'!$A:$Z,8,FALSE)</f>
        <v>68</v>
      </c>
      <c r="I265" s="4">
        <f>VLOOKUP($B265&amp;"__wt",'SegEnds_Xtal_BW#'!$A:$Z,9,FALSE)</f>
        <v>49</v>
      </c>
      <c r="J265" s="4">
        <f>VLOOKUP($B265&amp;"__wt",'SegEnds_Xtal_BW#'!$A:$Z,10,FALSE)</f>
        <v>52</v>
      </c>
      <c r="K265" s="11">
        <v>18</v>
      </c>
      <c r="L265" s="4">
        <f>VLOOKUP($B265&amp;"__wt",'SegEnds_Xtal_BW#'!$A:$Z,12,FALSE)</f>
        <v>56</v>
      </c>
      <c r="M265" s="4">
        <f>VLOOKUP($B265&amp;"__wt",'SegEnds_Xtal_BW#'!$A:$Z,13,FALSE)</f>
        <v>50</v>
      </c>
      <c r="N265" s="11">
        <v>53</v>
      </c>
      <c r="O265" s="87">
        <f>VLOOKUP($B265&amp;"__wt",'SegEnds_Xtal_BW#'!$A:$Z,15,FALSE)</f>
        <v>38</v>
      </c>
      <c r="P265" s="4">
        <f>VLOOKUP($B265&amp;"__wt",'SegEnds_Xtal_BW#'!$A:$Z,16,FALSE)</f>
        <v>64</v>
      </c>
      <c r="Q265" s="4">
        <f>VLOOKUP($B265&amp;"__wt",'SegEnds_Xtal_BW#'!$A:$Z,17,FALSE)</f>
        <v>50</v>
      </c>
      <c r="R265" s="4">
        <f>VLOOKUP($B265&amp;"__wt",'SegEnds_Xtal_BW#'!$A:$Z,18,FALSE)</f>
        <v>52</v>
      </c>
      <c r="S265" s="4">
        <f>VLOOKUP($B265&amp;"__wt",'SegEnds_Xtal_BW#'!$A:$Z,19,FALSE)</f>
        <v>33</v>
      </c>
      <c r="T265" s="4">
        <f t="array" ref="T265">INDEX(ICL3_classA!$G$2:$G$39,MATCH(MIN(ABS(AI265-ICL3_classA!$F$2:$F$39)),ABS(AI265-ICL3_classA!$F$2:$F$39),0))</f>
        <v>73</v>
      </c>
      <c r="U265" s="4">
        <f t="array" ref="U265">INDEX(ICL3_classA!$H$2:$H$39,MATCH(MIN(ABS(AI265-ICL3_classA!$F$2:$F$39)),ABS(AI265-ICL3_classA!$F$2:$F$39),0))</f>
        <v>22</v>
      </c>
      <c r="V265" s="4">
        <v>61</v>
      </c>
      <c r="W265" s="128">
        <f>VLOOKUP($B265&amp;"__wt",'SegEnds_Xtal_BW#'!$A:$Z,23,FALSE)</f>
        <v>27</v>
      </c>
      <c r="X265" s="4">
        <f>VLOOKUP($B265&amp;"__wt",'SegEnds_Xtal_BW#'!$A:$Z,24,FALSE)</f>
        <v>56</v>
      </c>
      <c r="Y265" s="4">
        <f>VLOOKUP($B265&amp;"__wt",'SegEnds_Xtal_BW#'!$A:$Z,25,FALSE)</f>
        <v>47</v>
      </c>
      <c r="Z265" s="4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4">
        <f>VLOOKUP(A265,'SegEnds_NonXtal_Prot#'!A:AL,10,FALSE)-VLOOKUP(A265,'SegEnds_NonXtal_Prot#'!A:AL,7,FALSE)</f>
        <v>15</v>
      </c>
      <c r="AD265" s="4">
        <f>VLOOKUP(A265,'SegEnds_NonXtal_Prot#'!A:AL,13,FALSE)-VLOOKUP(A265,'SegEnds_NonXtal_Prot#'!A:AL,10,FALSE)</f>
        <v>21</v>
      </c>
      <c r="AE265" s="4">
        <f>VLOOKUP(A265,'SegEnds_NonXtal_Prot#'!A:AL,16,FALSE)-VLOOKUP(A265,'SegEnds_NonXtal_Prot#'!A:AL,10,FALSE)</f>
        <v>53</v>
      </c>
      <c r="AF265" s="1">
        <f>VLOOKUP(A265,'SegEnds_NonXtal_Prot#'!A:AL,22,FALSE)-VLOOKUP(A265,'SegEnds_NonXtal_Prot#'!A:AL,19,FALSE)</f>
        <v>18</v>
      </c>
      <c r="AG265" s="4">
        <f>VLOOKUP(A265,'SegEnds_NonXtal_Prot#'!A:AL,28,FALSE)-VLOOKUP(A265,'SegEnds_NonXtal_Prot#'!A:AL,25,FALSE)</f>
        <v>26</v>
      </c>
      <c r="AH265" s="1">
        <f>VLOOKUP(A265,'SegEnds_NonXtal_Prot#'!A:AL,28,FALSE)-VLOOKUP(A265,'SegEnds_NonXtal_Prot#'!A:AL,22,FALSE)</f>
        <v>53</v>
      </c>
      <c r="AI265" s="4">
        <f>VLOOKUP(A265,'SegEnds_NonXtal_Prot#'!A:AL,31,FALSE)-VLOOKUP(A265,'SegEnds_NonXtal_Prot#'!A:AL,28,FALSE)</f>
        <v>56</v>
      </c>
      <c r="AJ265" s="4">
        <f>VLOOKUP(A265,'SegEnds_NonXtal_Prot#'!A:AL,34,FALSE)-VLOOKUP(A265,'SegEnds_NonXtal_Prot#'!A:AL,31,FALSE)</f>
        <v>39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221</v>
      </c>
      <c r="B266" s="1" t="str">
        <f>VLOOKUP(A266,Xtal_Templ!A:B,2,FALSE)</f>
        <v>oxyr_human</v>
      </c>
      <c r="C266" s="5">
        <f>VLOOKUP($B266&amp;"__wt",'SegEnds_Xtal_BW#'!$A:$Z,3,FALSE)</f>
        <v>28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67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 t="str">
        <f>VLOOKUP($B266&amp;"__wt",'SegEnds_Xtal_BW#'!$A:$Z,13,FALSE)</f>
        <v>-</v>
      </c>
      <c r="N266" s="12" t="str">
        <f>VLOOKUP($B266&amp;"__wt",'SegEnds_Xtal_BW#'!$A:$Z,14,FALSE)</f>
        <v>-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INDEX(ICL3_classA!$G$2:$G$39,MATCH(MIN(ABS(AI266-ICL3_classA!$F$2:$F$39)),ABS(AI266-ICL3_classA!$F$2:$F$39),0))</f>
        <v>74</v>
      </c>
      <c r="U266" s="1">
        <f t="array" ref="U266">INDEX(ICL3_classA!$H$2:$H$39,MATCH(MIN(ABS(AI266-ICL3_classA!$F$2:$F$39)),ABS(AI266-ICL3_classA!$F$2:$F$39),0))</f>
        <v>21</v>
      </c>
      <c r="V266" s="1">
        <v>61</v>
      </c>
      <c r="W266" s="128">
        <f>VLOOKUP($B266&amp;"__wt",'SegEnds_Xtal_BW#'!$A:$Z,23,FALSE)</f>
        <v>30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63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33</v>
      </c>
      <c r="AC266" s="1" t="e">
        <f>VLOOKUP(A266,'SegEnds_NonXtal_Prot#'!A:AL,10,FALSE)-VLOOKUP(A266,'SegEnds_NonXtal_Prot#'!A:AL,7,FALSE)</f>
        <v>#VALUE!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54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27</v>
      </c>
      <c r="AH266" s="1">
        <f>VLOOKUP(A266,'SegEnds_NonXtal_Prot#'!A:AL,28,FALSE)-VLOOKUP(A266,'SegEnds_NonXtal_Prot#'!A:AL,22,FALSE)</f>
        <v>75</v>
      </c>
      <c r="AI266" s="1">
        <f>VLOOKUP(A266,'SegEnds_NonXtal_Prot#'!A:AL,31,FALSE)-VLOOKUP(A266,'SegEnds_NonXtal_Prot#'!A:AL,28,FALSE)</f>
        <v>66</v>
      </c>
      <c r="AJ266" s="1">
        <f>VLOOKUP(A266,'SegEnds_NonXtal_Prot#'!A:AL,34,FALSE)-VLOOKUP(A266,'SegEnds_NonXtal_Prot#'!A:AL,31,FALSE)</f>
        <v>39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225</v>
      </c>
      <c r="B267" s="1" t="str">
        <f>VLOOKUP(A267,Xtal_Templ!A:B,2,FALSE)</f>
        <v>p2y12_human</v>
      </c>
      <c r="C267" s="5">
        <f>VLOOKUP($B267&amp;"__wt",'SegEnds_Xtal_BW#'!$A:$Z,3,FALSE)</f>
        <v>28</v>
      </c>
      <c r="D267" s="1">
        <f>VLOOKUP($B267&amp;"__wt",'SegEnds_Xtal_BW#'!$A:$Z,4,FALSE)</f>
        <v>60</v>
      </c>
      <c r="E267" s="1" t="str">
        <f>VLOOKUP($B267&amp;"__wt",'SegEnds_Xtal_BW#'!$A:$Z,5,FALSE)</f>
        <v>-</v>
      </c>
      <c r="F267" s="1" t="str">
        <f>VLOOKUP($B267&amp;"__wt",'SegEnds_Xtal_BW#'!$A:$Z,6,FALSE)</f>
        <v>-</v>
      </c>
      <c r="G267" s="1">
        <v>37</v>
      </c>
      <c r="H267" s="12">
        <f>VLOOKUP($B267&amp;"__wt",'SegEnds_Xtal_BW#'!$A:$Z,8,FALSE)</f>
        <v>66</v>
      </c>
      <c r="I267" s="1" t="str">
        <f>VLOOKUP($B267&amp;"__wt",'SegEnds_Xtal_BW#'!$A:$Z,9,FALSE)</f>
        <v>-</v>
      </c>
      <c r="J267" s="1" t="str">
        <f>VLOOKUP($B267&amp;"__wt",'SegEnds_Xtal_BW#'!$A:$Z,10,FALSE)</f>
        <v>-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INDEX(ICL3_classA!$G$2:$G$39,MATCH(MIN(ABS(AI267-ICL3_classA!$F$2:$F$39)),ABS(AI267-ICL3_classA!$F$2:$F$39),0))</f>
        <v>73</v>
      </c>
      <c r="U267" s="1">
        <f t="array" ref="U267">INDEX(ICL3_classA!$H$2:$H$39,MATCH(MIN(ABS(AI267-ICL3_classA!$F$2:$F$39)),ABS(AI267-ICL3_classA!$F$2:$F$39),0))</f>
        <v>24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57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27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54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22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58</v>
      </c>
      <c r="AJ267" s="1">
        <f>VLOOKUP(A267,'SegEnds_NonXtal_Prot#'!A:AL,34,FALSE)-VLOOKUP(A267,'SegEnds_NonXtal_Prot#'!A:AL,31,FALSE)</f>
        <v>35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255</v>
      </c>
      <c r="B268" s="1" t="str">
        <f>VLOOKUP(A268,Xtal_Templ!A:B,2,FALSE)</f>
        <v>ntr1_rat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 t="str">
        <f>VLOOKUP($B268&amp;"__wt",'SegEnds_Xtal_BW#'!$A:$Z,5,FALSE)</f>
        <v>-</v>
      </c>
      <c r="F268" s="1" t="str">
        <f>VLOOKUP($B268&amp;"__wt",'SegEnds_Xtal_BW#'!$A:$Z,6,FALSE)</f>
        <v>-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INDEX(ICL3_classA!$G$2:$G$39,MATCH(MIN(ABS(AI268-ICL3_classA!$F$2:$F$39)),ABS(AI268-ICL3_classA!$F$2:$F$39),0))</f>
        <v>76</v>
      </c>
      <c r="U268" s="1">
        <f t="array" ref="U268">INDEX(ICL3_classA!$H$2:$H$39,MATCH(MIN(ABS(AI268-ICL3_classA!$F$2:$F$39)),ABS(AI268-ICL3_classA!$F$2:$F$39),0))</f>
        <v>24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62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31</v>
      </c>
      <c r="AC268" s="1" t="e">
        <f>VLOOKUP(A268,'SegEnds_NonXtal_Prot#'!A:AL,10,FALSE)-VLOOKUP(A268,'SegEnds_NonXtal_Prot#'!A:AL,7,FALSE)</f>
        <v>#VALUE!</v>
      </c>
      <c r="AD268" s="1" t="e">
        <f>VLOOKUP(A268,'SegEnds_NonXtal_Prot#'!A:AL,13,FALSE)-VLOOKUP(A268,'SegEnds_NonXtal_Prot#'!A:AL,10,FALSE)</f>
        <v>#VALUE!</v>
      </c>
      <c r="AE268" s="1">
        <f>VLOOKUP(A268,'SegEnds_NonXtal_Prot#'!A:AL,16,FALSE)-VLOOKUP(A268,'SegEnds_NonXtal_Prot#'!A:AL,10,FALSE)</f>
        <v>54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21</v>
      </c>
      <c r="AH268" s="1">
        <f>VLOOKUP(A268,'SegEnds_NonXtal_Prot#'!A:AL,28,FALSE)-VLOOKUP(A268,'SegEnds_NonXtal_Prot#'!A:AL,22,FALSE)</f>
        <v>71</v>
      </c>
      <c r="AI268" s="1">
        <f>VLOOKUP(A268,'SegEnds_NonXtal_Prot#'!A:AL,31,FALSE)-VLOOKUP(A268,'SegEnds_NonXtal_Prot#'!A:AL,28,FALSE)</f>
        <v>67</v>
      </c>
      <c r="AJ268" s="1">
        <f>VLOOKUP(A268,'SegEnds_NonXtal_Prot#'!A:AL,34,FALSE)-VLOOKUP(A268,'SegEnds_NonXtal_Prot#'!A:AL,31,FALSE)</f>
        <v>43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262</v>
      </c>
      <c r="B269" s="1" t="str">
        <f>VLOOKUP(A269,Xtal_Templ!A:B,2,FALSE)</f>
        <v>ox2r_human</v>
      </c>
      <c r="C269" s="5">
        <f>VLOOKUP($B269&amp;"__wt",'SegEnds_Xtal_BW#'!$A:$Z,3,FALSE)</f>
        <v>31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v>35</v>
      </c>
      <c r="T269" s="1">
        <f t="array" ref="T269">INDEX(ICL3_classA!$G$2:$G$39,MATCH(MIN(ABS(AI269-ICL3_classA!$F$2:$F$39)),ABS(AI269-ICL3_classA!$F$2:$F$39),0))</f>
        <v>76</v>
      </c>
      <c r="U269" s="1">
        <f t="array" ref="U269">INDEX(ICL3_classA!$H$2:$H$39,MATCH(MIN(ABS(AI269-ICL3_classA!$F$2:$F$39)),ABS(AI269-ICL3_classA!$F$2:$F$39),0))</f>
        <v>24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63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26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21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25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82</v>
      </c>
      <c r="AJ269" s="1">
        <f>VLOOKUP(A269,'SegEnds_NonXtal_Prot#'!A:AL,34,FALSE)-VLOOKUP(A269,'SegEnds_NonXtal_Prot#'!A:AL,31,FALSE)</f>
        <v>36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127</v>
      </c>
      <c r="B270" s="1" t="str">
        <f>VLOOKUP(A270,Xtal_Templ!A:B,2,FALSE)</f>
        <v>ntr1_human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62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31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54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55</v>
      </c>
      <c r="AI270" s="1">
        <f>VLOOKUP(A270,'SegEnds_NonXtal_Prot#'!A:AL,31,FALSE)-VLOOKUP(A270,'SegEnds_NonXtal_Prot#'!A:AL,28,FALSE)</f>
        <v>70</v>
      </c>
      <c r="AJ270" s="1">
        <f>VLOOKUP(A270,'SegEnds_NonXtal_Prot#'!A:AL,34,FALSE)-VLOOKUP(A270,'SegEnds_NonXtal_Prot#'!A:AL,31,FALSE)</f>
        <v>43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Xtal</v>
      </c>
    </row>
    <row r="271" spans="1:38" x14ac:dyDescent="0.2">
      <c r="A271" s="1" t="s">
        <v>909</v>
      </c>
      <c r="B271" s="1" t="str">
        <f>VLOOKUP(A271,Xtal_Templ!A:B,2,FALSE)</f>
        <v>ntr1_rat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INDEX(ICL3_classA!$G$2:$G$39,MATCH(MIN(ABS(AI271-ICL3_classA!$F$2:$F$39)),ABS(AI271-ICL3_classA!$F$2:$F$39),0))</f>
        <v>76</v>
      </c>
      <c r="U271" s="1">
        <f t="array" ref="U271">INDEX(ICL3_classA!$H$2:$H$39,MATCH(MIN(ABS(AI271-ICL3_classA!$F$2:$F$39)),ABS(AI271-ICL3_classA!$F$2:$F$39),0))</f>
        <v>24</v>
      </c>
      <c r="V271" s="1">
        <v>61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62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31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22</v>
      </c>
      <c r="AE271" s="1">
        <f>VLOOKUP(A271,'SegEnds_NonXtal_Prot#'!A:AL,16,FALSE)-VLOOKUP(A271,'SegEnds_NonXtal_Prot#'!A:AL,10,FALSE)</f>
        <v>54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55</v>
      </c>
      <c r="AI271" s="1">
        <f>VLOOKUP(A271,'SegEnds_NonXtal_Prot#'!A:AL,31,FALSE)-VLOOKUP(A271,'SegEnds_NonXtal_Prot#'!A:AL,28,FALSE)</f>
        <v>74</v>
      </c>
      <c r="AJ271" s="1">
        <f>VLOOKUP(A271,'SegEnds_NonXtal_Prot#'!A:AL,34,FALSE)-VLOOKUP(A271,'SegEnds_NonXtal_Prot#'!A:AL,31,FALSE)</f>
        <v>43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329</v>
      </c>
      <c r="B272" s="1" t="str">
        <f>VLOOKUP(A272,Xtal_Templ!A:B,2,FALSE)</f>
        <v>ntr1_rat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 t="str">
        <f>VLOOKUP($B272&amp;"__wt",'SegEnds_Xtal_BW#'!$A:$Z,5,FALSE)</f>
        <v>-</v>
      </c>
      <c r="F272" s="1" t="str">
        <f>VLOOKUP($B272&amp;"__wt",'SegEnds_Xtal_BW#'!$A:$Z,6,FALSE)</f>
        <v>-</v>
      </c>
      <c r="G272" s="1">
        <v>37</v>
      </c>
      <c r="H272" s="12">
        <f>VLOOKUP($B272&amp;"__wt",'SegEnds_Xtal_BW#'!$A:$Z,8,FALSE)</f>
        <v>68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INDEX(ICL3_classA!$G$2:$G$39,MATCH(MIN(ABS(AI272-ICL3_classA!$F$2:$F$39)),ABS(AI272-ICL3_classA!$F$2:$F$39),0))</f>
        <v>74</v>
      </c>
      <c r="U272" s="1">
        <f t="array" ref="U272">INDEX(ICL3_classA!$H$2:$H$39,MATCH(MIN(ABS(AI272-ICL3_classA!$F$2:$F$39)),ABS(AI272-ICL3_classA!$F$2:$F$39),0))</f>
        <v>24</v>
      </c>
      <c r="V272" s="1">
        <v>61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62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 t="e">
        <f>VLOOKUP(A272,'SegEnds_NonXtal_Prot#'!A:AL,10,FALSE)-VLOOKUP(A272,'SegEnds_NonXtal_Prot#'!A:AL,7,FALSE)</f>
        <v>#VALUE!</v>
      </c>
      <c r="AD272" s="1">
        <f>VLOOKUP(A272,'SegEnds_NonXtal_Prot#'!A:AL,13,FALSE)-VLOOKUP(A272,'SegEnds_NonXtal_Prot#'!A:AL,10,FALSE)</f>
        <v>22</v>
      </c>
      <c r="AE272" s="1">
        <f>VLOOKUP(A272,'SegEnds_NonXtal_Prot#'!A:AL,16,FALSE)-VLOOKUP(A272,'SegEnds_NonXtal_Prot#'!A:AL,10,FALSE)</f>
        <v>54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24</v>
      </c>
      <c r="AH272" s="1">
        <f>VLOOKUP(A272,'SegEnds_NonXtal_Prot#'!A:AL,28,FALSE)-VLOOKUP(A272,'SegEnds_NonXtal_Prot#'!A:AL,22,FALSE)</f>
        <v>58</v>
      </c>
      <c r="AI272" s="1">
        <f>VLOOKUP(A272,'SegEnds_NonXtal_Prot#'!A:AL,31,FALSE)-VLOOKUP(A272,'SegEnds_NonXtal_Prot#'!A:AL,28,FALSE)</f>
        <v>94</v>
      </c>
      <c r="AJ272" s="1">
        <f>VLOOKUP(A272,'SegEnds_NonXtal_Prot#'!A:AL,34,FALSE)-VLOOKUP(A272,'SegEnds_NonXtal_Prot#'!A:AL,31,FALSE)</f>
        <v>43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366</v>
      </c>
      <c r="B273" s="1" t="str">
        <f>VLOOKUP(A273,Xtal_Templ!A:B,2,FALSE)</f>
        <v>npy1r_human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 t="str">
        <f>VLOOKUP($B273&amp;"__wt",'SegEnds_Xtal_BW#'!$A:$Z,13,FALSE)</f>
        <v>-</v>
      </c>
      <c r="N273" s="108" t="s">
        <v>23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INDEX(ICL3_classA!$G$2:$G$39,MATCH(MIN(ABS(AI273-ICL3_classA!$F$2:$F$39)),ABS(AI273-ICL3_classA!$F$2:$F$39),0))</f>
        <v>73</v>
      </c>
      <c r="U273" s="1">
        <f t="array" ref="U273">INDEX(ICL3_classA!$H$2:$H$39,MATCH(MIN(ABS(AI273-ICL3_classA!$F$2:$F$39)),ABS(AI273-ICL3_classA!$F$2:$F$39),0))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54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27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55</v>
      </c>
      <c r="AJ273" s="1">
        <f>VLOOKUP(A273,'SegEnds_NonXtal_Prot#'!A:AL,34,FALSE)-VLOOKUP(A273,'SegEnds_NonXtal_Prot#'!A:AL,31,FALSE)</f>
        <v>40</v>
      </c>
      <c r="AK273" s="1">
        <f>VLOOKUP(A273,'SegEnds_NonXtal_Prot#'!A:AL,37,FALSE)-VLOOKUP(A273,'SegEnds_NonXtal_Prot#'!A:AL,34,FALSE)</f>
        <v>11</v>
      </c>
      <c r="AL273" s="1" t="str">
        <f>IF(ISERROR(MATCH(A273,'SegEnds_Xtal_Prot#'!B:B, 0)), "NoXtal", "Xtal")</f>
        <v>NoXtal</v>
      </c>
    </row>
    <row r="274" spans="1:38" x14ac:dyDescent="0.2">
      <c r="A274" s="1" t="s">
        <v>367</v>
      </c>
      <c r="B274" s="1" t="str">
        <f>VLOOKUP(A274,Xtal_Templ!A:B,2,FALSE)</f>
        <v>npy1r_human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 t="str">
        <f>VLOOKUP($B274&amp;"__wt",'SegEnds_Xtal_BW#'!$A:$Z,13,FALSE)</f>
        <v>-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22</v>
      </c>
      <c r="AE274" s="1">
        <f>VLOOKUP(A274,'SegEnds_NonXtal_Prot#'!A:AL,16,FALSE)-VLOOKUP(A274,'SegEnds_NonXtal_Prot#'!A:AL,10,FALSE)</f>
        <v>54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40</v>
      </c>
      <c r="AK274" s="1">
        <f>VLOOKUP(A274,'SegEnds_NonXtal_Prot#'!A:AL,37,FALSE)-VLOOKUP(A274,'SegEnds_NonXtal_Prot#'!A:AL,34,FALSE)</f>
        <v>11</v>
      </c>
      <c r="AL274" s="1" t="str">
        <f>IF(ISERROR(MATCH(A274,'SegEnds_Xtal_Prot#'!B:B, 0)), "NoXtal", "Xtal")</f>
        <v>NoXtal</v>
      </c>
    </row>
    <row r="275" spans="1:38" x14ac:dyDescent="0.2">
      <c r="A275" s="1" t="s">
        <v>231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33</v>
      </c>
      <c r="T275" s="1">
        <f t="array" ref="T275">INDEX(ICL3_classA!$G$2:$G$39,MATCH(MIN(ABS(AI275-ICL3_classA!$F$2:$F$39)),ABS(AI275-ICL3_classA!$F$2:$F$39),0))</f>
        <v>74</v>
      </c>
      <c r="U275" s="1">
        <f t="array" ref="U275">INDEX(ICL3_classA!$H$2:$H$39,MATCH(MIN(ABS(AI275-ICL3_classA!$F$2:$F$39)),ABS(AI275-ICL3_classA!$F$2:$F$39),0))</f>
        <v>21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63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22</v>
      </c>
      <c r="AE275" s="1">
        <f>VLOOKUP(A275,'SegEnds_NonXtal_Prot#'!A:AL,16,FALSE)-VLOOKUP(A275,'SegEnds_NonXtal_Prot#'!A:AL,10,FALSE)</f>
        <v>55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50</v>
      </c>
      <c r="AI275" s="1">
        <f>VLOOKUP(A275,'SegEnds_NonXtal_Prot#'!A:AL,31,FALSE)-VLOOKUP(A275,'SegEnds_NonXtal_Prot#'!A:AL,28,FALSE)</f>
        <v>64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263</v>
      </c>
      <c r="B276" s="1" t="str">
        <f>VLOOKUP(A276,Xtal_Templ!A:B,2,FALSE)</f>
        <v>drd3_human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58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76</v>
      </c>
      <c r="U276" s="1">
        <f t="array" ref="U276">INDEX(ICL3_classA!$H$2:$H$39,MATCH(MIN(ABS(AI276-ICL3_classA!$F$2:$F$39)),ABS(AI276-ICL3_classA!$F$2:$F$39),0))</f>
        <v>24</v>
      </c>
      <c r="V276" s="1">
        <v>58</v>
      </c>
      <c r="W276" s="1">
        <v>35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26</v>
      </c>
      <c r="AC276" s="1" t="e">
        <f>VLOOKUP(A276,'SegEnds_NonXtal_Prot#'!A:AL,10,FALSE)-VLOOKUP(A276,'SegEnds_NonXtal_Prot#'!A:AL,7,FALSE)</f>
        <v>#VALUE!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55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22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72</v>
      </c>
      <c r="AJ276" s="1">
        <f>VLOOKUP(A276,'SegEnds_NonXtal_Prot#'!A:AL,34,FALSE)-VLOOKUP(A276,'SegEnds_NonXtal_Prot#'!A:AL,31,FALSE)</f>
        <v>31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x14ac:dyDescent="0.2">
      <c r="A277" s="1" t="s">
        <v>224</v>
      </c>
      <c r="B277" s="1" t="str">
        <f>VLOOKUP(A277,Xtal_Templ!A:B,2,FALSE)</f>
        <v>5ht2a_human</v>
      </c>
      <c r="C277" s="5">
        <f>VLOOKUP($B277&amp;"__wt",'SegEnds_Xtal_BW#'!$A:$Z,3,FALSE)</f>
        <v>27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108">
        <v>38</v>
      </c>
      <c r="P277" s="1">
        <v>63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INDEX(ICL3_classA!$G$2:$G$39,MATCH(MIN(ABS(AI277-ICL3_classA!$F$2:$F$39)),ABS(AI277-ICL3_classA!$F$2:$F$39),0))</f>
        <v>76</v>
      </c>
      <c r="U277" s="1">
        <f t="array" ref="U277">INDEX(ICL3_classA!$H$2:$H$39,MATCH(MIN(ABS(AI277-ICL3_classA!$F$2:$F$39)),ABS(AI277-ICL3_classA!$F$2:$F$39),0))</f>
        <v>24</v>
      </c>
      <c r="V277" s="1">
        <v>61</v>
      </c>
      <c r="W277" s="1">
        <v>32</v>
      </c>
      <c r="X277" s="108">
        <v>55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27</v>
      </c>
      <c r="AC277" s="1">
        <f>VLOOKUP(A277,'SegEnds_NonXtal_Prot#'!A:AL,10,FALSE)-VLOOKUP(A277,'SegEnds_NonXtal_Prot#'!A:AL,7,FALSE)</f>
        <v>14</v>
      </c>
      <c r="AD277" s="1">
        <f>VLOOKUP(A277,'SegEnds_NonXtal_Prot#'!A:AL,13,FALSE)-VLOOKUP(A277,'SegEnds_NonXtal_Prot#'!A:AL,10,FALSE)</f>
        <v>24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23</v>
      </c>
      <c r="AH277" s="1">
        <f>VLOOKUP(A277,'SegEnds_NonXtal_Prot#'!A:AL,28,FALSE)-VLOOKUP(A277,'SegEnds_NonXtal_Prot#'!A:AL,22,FALSE)</f>
        <v>49</v>
      </c>
      <c r="AI277" s="1">
        <f>VLOOKUP(A277,'SegEnds_NonXtal_Prot#'!A:AL,31,FALSE)-VLOOKUP(A277,'SegEnds_NonXtal_Prot#'!A:AL,28,FALSE)</f>
        <v>76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9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247</v>
      </c>
      <c r="B278" s="1" t="str">
        <f>VLOOKUP(A278,Xtal_Templ!A:B,2,FALSE)</f>
        <v>ox1r_human</v>
      </c>
      <c r="C278" s="5">
        <f>VLOOKUP($B278&amp;"__wt",'SegEnds_Xtal_BW#'!$A:$Z,3,FALSE)</f>
        <v>32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58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INDEX(ICL3_classA!$G$2:$G$39,MATCH(MIN(ABS(AI278-ICL3_classA!$F$2:$F$39)),ABS(AI278-ICL3_classA!$F$2:$F$39),0))</f>
        <v>76</v>
      </c>
      <c r="U278" s="1">
        <f t="array" ref="U278">INDEX(ICL3_classA!$H$2:$H$39,MATCH(MIN(ABS(AI278-ICL3_classA!$F$2:$F$39)),ABS(AI278-ICL3_classA!$F$2:$F$39),0))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63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21</v>
      </c>
      <c r="AG278" s="1">
        <f>VLOOKUP(A278,'SegEnds_NonXtal_Prot#'!A:AL,28,FALSE)-VLOOKUP(A278,'SegEnds_NonXtal_Prot#'!A:AL,25,FALSE)</f>
        <v>18</v>
      </c>
      <c r="AH278" s="1">
        <f>VLOOKUP(A278,'SegEnds_NonXtal_Prot#'!A:AL,28,FALSE)-VLOOKUP(A278,'SegEnds_NonXtal_Prot#'!A:AL,22,FALSE)</f>
        <v>41</v>
      </c>
      <c r="AI278" s="1">
        <f>VLOOKUP(A278,'SegEnds_NonXtal_Prot#'!A:AL,31,FALSE)-VLOOKUP(A278,'SegEnds_NonXtal_Prot#'!A:AL,28,FALSE)</f>
        <v>110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267</v>
      </c>
      <c r="B279" s="1" t="str">
        <f>VLOOKUP(A279,Xtal_Templ!A:B,2,FALSE)</f>
        <v>oprd_human</v>
      </c>
      <c r="C279" s="5">
        <f>VLOOKUP($B279&amp;"__wt",'SegEnds_Xtal_BW#'!$A:$Z,3,FALSE)</f>
        <v>22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INDEX(ICL3_classA!$G$2:$G$39,MATCH(MIN(ABS(AI279-ICL3_classA!$F$2:$F$39)),ABS(AI279-ICL3_classA!$F$2:$F$39),0))</f>
        <v>68</v>
      </c>
      <c r="U279" s="1">
        <f t="array" ref="U279">INDEX(ICL3_classA!$H$2:$H$39,MATCH(MIN(ABS(AI279-ICL3_classA!$F$2:$F$39)),ABS(AI279-ICL3_classA!$F$2:$F$39),0))</f>
        <v>23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60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56</v>
      </c>
      <c r="AF279" s="1">
        <f>VLOOKUP(A279,'SegEnds_NonXtal_Prot#'!A:AL,22,FALSE)-VLOOKUP(A279,'SegEnds_NonXtal_Prot#'!A:AL,19,FALSE)</f>
        <v>20</v>
      </c>
      <c r="AG279" s="1" t="e">
        <f>VLOOKUP(A279,'SegEnds_NonXtal_Prot#'!A:AL,28,FALSE)-VLOOKUP(A279,'SegEnds_NonXtal_Prot#'!A:AL,25,FALSE)</f>
        <v>#VALUE!</v>
      </c>
      <c r="AH279" s="1">
        <f>VLOOKUP(A279,'SegEnds_NonXtal_Prot#'!A:AL,28,FALSE)-VLOOKUP(A279,'SegEnds_NonXtal_Prot#'!A:AL,22,FALSE)</f>
        <v>53</v>
      </c>
      <c r="AI279" s="1">
        <f>VLOOKUP(A279,'SegEnds_NonXtal_Prot#'!A:AL,31,FALSE)-VLOOKUP(A279,'SegEnds_NonXtal_Prot#'!A:AL,28,FALSE)</f>
        <v>51</v>
      </c>
      <c r="AJ279" s="1">
        <f>VLOOKUP(A279,'SegEnds_NonXtal_Prot#'!A:AL,34,FALSE)-VLOOKUP(A279,'SegEnds_NonXtal_Prot#'!A:AL,31,FALSE)</f>
        <v>42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361</v>
      </c>
      <c r="B280" s="1" t="str">
        <f>VLOOKUP(A280,Xtal_Templ!A:B,2,FALSE)</f>
        <v>pe2r4_human</v>
      </c>
      <c r="C280" s="5">
        <f>VLOOKUP($B280&amp;"__wt",'SegEnds_Xtal_BW#'!$A:$Z,3,FALSE)</f>
        <v>33</v>
      </c>
      <c r="D280" s="1">
        <f>VLOOKUP($B280&amp;"__wt",'SegEnds_Xtal_BW#'!$A:$Z,4,FALSE)</f>
        <v>58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INDEX(ICL3_classA!$G$2:$G$39,MATCH(MIN(ABS(AI280-ICL3_classA!$F$2:$F$39)),ABS(AI280-ICL3_classA!$F$2:$F$39),0))</f>
        <v>76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">
        <v>33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39</v>
      </c>
      <c r="AC280" s="1">
        <f>VLOOKUP(A280,'SegEnds_NonXtal_Prot#'!A:AL,10,FALSE)-VLOOKUP(A280,'SegEnds_NonXtal_Prot#'!A:AL,7,FALSE)</f>
        <v>20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56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22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70</v>
      </c>
      <c r="AJ280" s="1">
        <f>VLOOKUP(A280,'SegEnds_NonXtal_Prot#'!A:AL,34,FALSE)-VLOOKUP(A280,'SegEnds_NonXtal_Prot#'!A:AL,31,FALSE)</f>
        <v>33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s="12" customFormat="1" x14ac:dyDescent="0.2">
      <c r="A281" s="1" t="s">
        <v>362</v>
      </c>
      <c r="B281" s="1" t="str">
        <f>VLOOKUP(A281,Xtal_Templ!A:B,2,FALSE)</f>
        <v>pe2r3_human</v>
      </c>
      <c r="C281" s="5">
        <f>VLOOKUP($B281&amp;"__wt",'SegEnds_Xtal_BW#'!$A:$Z,3,FALSE)</f>
        <v>36</v>
      </c>
      <c r="D281" s="1">
        <f>VLOOKUP($B281&amp;"__wt",'SegEnds_Xtal_BW#'!$A:$Z,4,FALSE)</f>
        <v>62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68</v>
      </c>
      <c r="I281" s="1">
        <v>49</v>
      </c>
      <c r="J281" s="1">
        <f>VLOOKUP($B281&amp;"__wt",'SegEnds_Xtal_BW#'!$A:$Z,10,FALSE)</f>
        <v>56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64</v>
      </c>
      <c r="W281" s="1">
        <v>24</v>
      </c>
      <c r="X281" s="1">
        <f>VLOOKUP($B281&amp;"__wt",'SegEnds_Xtal_BW#'!$A:$Z,24,FALSE)</f>
        <v>53</v>
      </c>
      <c r="Y281" s="1">
        <f>VLOOKUP($B281&amp;"__wt",'SegEnds_Xtal_BW#'!$A:$Z,25,FALSE)</f>
        <v>44</v>
      </c>
      <c r="Z281" s="1">
        <f>VLOOKUP($B281&amp;"__wt",'SegEnds_Xtal_BW#'!$A:$Z,26,FALSE)</f>
        <v>66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33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21</v>
      </c>
      <c r="AE281" s="1">
        <f>VLOOKUP(A281,'SegEnds_NonXtal_Prot#'!A:AL,16,FALSE)-VLOOKUP(A281,'SegEnds_NonXtal_Prot#'!A:AL,10,FALSE)</f>
        <v>56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33</v>
      </c>
      <c r="AH281" s="1">
        <f>VLOOKUP(A281,'SegEnds_NonXtal_Prot#'!A:AL,28,FALSE)-VLOOKUP(A281,'SegEnds_NonXtal_Prot#'!A:AL,22,FALSE)</f>
        <v>59</v>
      </c>
      <c r="AI281" s="1">
        <f>VLOOKUP(A281,'SegEnds_NonXtal_Prot#'!A:AL,31,FALSE)-VLOOKUP(A281,'SegEnds_NonXtal_Prot#'!A:AL,28,FALSE)</f>
        <v>56</v>
      </c>
      <c r="AJ281" s="1">
        <f>VLOOKUP(A281,'SegEnds_NonXtal_Prot#'!A:AL,34,FALSE)-VLOOKUP(A281,'SegEnds_NonXtal_Prot#'!A:AL,31,FALSE)</f>
        <v>46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364</v>
      </c>
      <c r="B282" s="1" t="str">
        <f>VLOOKUP(A282,Xtal_Templ!A:B,2,FALSE)</f>
        <v>ta2r_human</v>
      </c>
      <c r="C282" s="5">
        <f>VLOOKUP($B282&amp;"__wt",'SegEnds_Xtal_BW#'!$A:$Z,3,FALSE)</f>
        <v>35</v>
      </c>
      <c r="D282" s="108">
        <v>61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08">
        <v>50</v>
      </c>
      <c r="R282" s="108">
        <v>52</v>
      </c>
      <c r="S282" s="1">
        <v>35</v>
      </c>
      <c r="T282" s="1">
        <f t="array" ref="T282">INDEX(ICL3_classA!$G$2:$G$39,MATCH(MIN(ABS(AI282-ICL3_classA!$F$2:$F$39)),ABS(AI282-ICL3_classA!$F$2:$F$39),0))</f>
        <v>72</v>
      </c>
      <c r="U282" s="1">
        <f t="array" ref="U282">INDEX(ICL3_classA!$H$2:$H$39,MATCH(MIN(ABS(AI282-ICL3_classA!$F$2:$F$39)),ABS(AI282-ICL3_classA!$F$2:$F$39),0))</f>
        <v>29</v>
      </c>
      <c r="V282" s="1">
        <v>61</v>
      </c>
      <c r="W282" s="1">
        <v>31</v>
      </c>
      <c r="X282" s="108">
        <v>56</v>
      </c>
      <c r="Y282" s="108">
        <v>47</v>
      </c>
      <c r="Z282" s="1">
        <f>VLOOKUP($B282&amp;"__wt",'SegEnds_Xtal_BW#'!$A:$Z,26,FALSE)</f>
        <v>66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>
        <f>VLOOKUP(A282,'SegEnds_NonXtal_Prot#'!A:AL,10,FALSE)-VLOOKUP(A282,'SegEnds_NonXtal_Prot#'!A:AL,7,FALSE)</f>
        <v>19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56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54</v>
      </c>
      <c r="AI282" s="1">
        <f>VLOOKUP(A282,'SegEnds_NonXtal_Prot#'!A:AL,31,FALSE)-VLOOKUP(A282,'SegEnds_NonXtal_Prot#'!A:AL,28,FALSE)</f>
        <v>50</v>
      </c>
      <c r="AJ282" s="1">
        <f>VLOOKUP(A282,'SegEnds_NonXtal_Prot#'!A:AL,34,FALSE)-VLOOKUP(A282,'SegEnds_NonXtal_Prot#'!A:AL,31,FALSE)</f>
        <v>37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469</v>
      </c>
      <c r="B283" s="1" t="str">
        <f>VLOOKUP(A283,Xtal_Templ!A:B,2,FALSE)</f>
        <v>ta2r_human</v>
      </c>
      <c r="C283" s="5">
        <f>VLOOKUP($B283&amp;"__wt",'SegEnds_Xtal_BW#'!$A:$Z,3,FALSE)</f>
        <v>35</v>
      </c>
      <c r="D283" s="1">
        <f>VLOOKUP($B283&amp;"__wt",'SegEnds_Xtal_BW#'!$A:$Z,4,FALSE)</f>
        <v>62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67</v>
      </c>
      <c r="I283" s="1">
        <f>VLOOKUP($B283&amp;"__wt",'SegEnds_Xtal_BW#'!$A:$Z,9,FALSE)</f>
        <v>49</v>
      </c>
      <c r="J283" s="1">
        <f>VLOOKUP($B283&amp;"__wt",'SegEnds_Xtal_BW#'!$A:$Z,10,FALSE)</f>
        <v>53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33</v>
      </c>
      <c r="T283" s="1">
        <f t="array" ref="T283">INDEX(ICL3_classA!$G$2:$G$39,MATCH(MIN(ABS(AI283-ICL3_classA!$F$2:$F$39)),ABS(AI283-ICL3_classA!$F$2:$F$39),0))</f>
        <v>72</v>
      </c>
      <c r="U283" s="1">
        <f t="array" ref="U283">INDEX(ICL3_classA!$H$2:$H$39,MATCH(MIN(ABS(AI283-ICL3_classA!$F$2:$F$39)),ABS(AI283-ICL3_classA!$F$2:$F$39),0))</f>
        <v>24</v>
      </c>
      <c r="V283" s="108">
        <v>61</v>
      </c>
      <c r="W283" s="108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66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32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21</v>
      </c>
      <c r="AE283" s="1">
        <f>VLOOKUP(A283,'SegEnds_NonXtal_Prot#'!A:AL,16,FALSE)-VLOOKUP(A283,'SegEnds_NonXtal_Prot#'!A:AL,10,FALSE)</f>
        <v>56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50</v>
      </c>
      <c r="AI283" s="1">
        <f>VLOOKUP(A283,'SegEnds_NonXtal_Prot#'!A:AL,31,FALSE)-VLOOKUP(A283,'SegEnds_NonXtal_Prot#'!A:AL,28,FALSE)</f>
        <v>53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195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38</v>
      </c>
      <c r="H284" s="12"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9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28</v>
      </c>
      <c r="T284" s="1">
        <f t="array" ref="T284">INDEX(ICL3_classA!$G$2:$G$39,MATCH(MIN(ABS(AI284-ICL3_classA!$F$2:$F$39)),ABS(AI284-ICL3_classA!$F$2:$F$39),0))</f>
        <v>72</v>
      </c>
      <c r="U284" s="1">
        <f t="array" ref="U284">INDEX(ICL3_classA!$H$2:$H$39,MATCH(MIN(ABS(AI284-ICL3_classA!$F$2:$F$39)),ABS(AI284-ICL3_classA!$F$2:$F$39),0))</f>
        <v>24</v>
      </c>
      <c r="V284" s="1">
        <v>62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57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28</v>
      </c>
      <c r="AH284" s="1">
        <f>VLOOKUP(A284,'SegEnds_NonXtal_Prot#'!A:AL,28,FALSE)-VLOOKUP(A284,'SegEnds_NonXtal_Prot#'!A:AL,22,FALSE)</f>
        <v>57</v>
      </c>
      <c r="AI284" s="1">
        <f>VLOOKUP(A284,'SegEnds_NonXtal_Prot#'!A:AL,31,FALSE)-VLOOKUP(A284,'SegEnds_NonXtal_Prot#'!A:AL,28,FALSE)</f>
        <v>54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227</v>
      </c>
      <c r="B285" s="1" t="str">
        <f>VLOOKUP(A285,Xtal_Templ!A:B,2,FALSE)</f>
        <v>npy1r_human</v>
      </c>
      <c r="C285" s="5">
        <f>VLOOKUP($B285&amp;"__wt",'SegEnds_Xtal_BW#'!$A:$Z,3,FALSE)</f>
        <v>28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68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08"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INDEX(ICL3_classA!$G$2:$G$39,MATCH(MIN(ABS(AI285-ICL3_classA!$F$2:$F$39)),ABS(AI285-ICL3_classA!$F$2:$F$39),0))</f>
        <v>74</v>
      </c>
      <c r="U285" s="1">
        <f t="array" ref="U285">INDEX(ICL3_classA!$H$2:$H$39,MATCH(MIN(ABS(AI285-ICL3_classA!$F$2:$F$39)),ABS(AI285-ICL3_classA!$F$2:$F$39),0))</f>
        <v>24</v>
      </c>
      <c r="V285" s="1">
        <v>61</v>
      </c>
      <c r="W285" s="1">
        <v>32</v>
      </c>
      <c r="X285" s="108">
        <v>55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>
        <f>VLOOKUP(A285,'SegEnds_NonXtal_Prot#'!A:AL,10,FALSE)-VLOOKUP(A285,'SegEnds_NonXtal_Prot#'!A:AL,7,FALSE)</f>
        <v>14</v>
      </c>
      <c r="AD285" s="1">
        <f>VLOOKUP(A285,'SegEnds_NonXtal_Prot#'!A:AL,13,FALSE)-VLOOKUP(A285,'SegEnds_NonXtal_Prot#'!A:AL,10,FALSE)</f>
        <v>25</v>
      </c>
      <c r="AE285" s="1">
        <f>VLOOKUP(A285,'SegEnds_NonXtal_Prot#'!A:AL,16,FALSE)-VLOOKUP(A285,'SegEnds_NonXtal_Prot#'!A:AL,10,FALSE)</f>
        <v>57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23</v>
      </c>
      <c r="AH285" s="1">
        <f>VLOOKUP(A285,'SegEnds_NonXtal_Prot#'!A:AL,28,FALSE)-VLOOKUP(A285,'SegEnds_NonXtal_Prot#'!A:AL,22,FALSE)</f>
        <v>49</v>
      </c>
      <c r="AI285" s="1">
        <f>VLOOKUP(A285,'SegEnds_NonXtal_Prot#'!A:AL,31,FALSE)-VLOOKUP(A285,'SegEnds_NonXtal_Prot#'!A:AL,28,FALSE)</f>
        <v>96</v>
      </c>
      <c r="AJ285" s="1">
        <f>VLOOKUP(A285,'SegEnds_NonXtal_Prot#'!A:AL,34,FALSE)-VLOOKUP(A285,'SegEnds_NonXtal_Prot#'!A:AL,31,FALSE)</f>
        <v>34</v>
      </c>
      <c r="AK285" s="1">
        <f>VLOOKUP(A285,'SegEnds_NonXtal_Prot#'!A:AL,37,FALSE)-VLOOKUP(A285,'SegEnds_NonXtal_Prot#'!A:AL,34,FALSE)</f>
        <v>9</v>
      </c>
      <c r="AL285" s="1" t="str">
        <f>IF(ISERROR(MATCH(A285,'SegEnds_Xtal_Prot#'!B:B, 0)), "NoXtal", "Xtal")</f>
        <v>NoXtal</v>
      </c>
    </row>
    <row r="286" spans="1:38" x14ac:dyDescent="0.2">
      <c r="A286" s="1" t="s">
        <v>296</v>
      </c>
      <c r="B286" s="1" t="str">
        <f>VLOOKUP(A286,Xtal_Templ!A:B,2,FALSE)</f>
        <v>mc4r_human</v>
      </c>
      <c r="C286" s="5">
        <f>VLOOKUP($B286&amp;"__wt",'SegEnds_Xtal_BW#'!$A:$Z,3,FALSE)</f>
        <v>35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 t="s">
        <v>23</v>
      </c>
      <c r="J286" s="1" t="s">
        <v>23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 t="str">
        <f>VLOOKUP($B286&amp;"__wt",'SegEnds_Xtal_BW#'!$A:$Z,17,FALSE)</f>
        <v>-</v>
      </c>
      <c r="R286" s="1" t="str">
        <f>VLOOKUP($B286&amp;"__wt",'SegEnds_Xtal_BW#'!$A:$Z,18,FALSE)</f>
        <v>-</v>
      </c>
      <c r="S286" s="108">
        <v>36</v>
      </c>
      <c r="T286" s="1">
        <f t="array" ref="T286">INDEX(ICL3_classA!$G$2:$G$39,MATCH(MIN(ABS(AI286-ICL3_classA!$F$2:$F$39)),ABS(AI286-ICL3_classA!$F$2:$F$39),0))</f>
        <v>73</v>
      </c>
      <c r="U286" s="108">
        <v>27</v>
      </c>
      <c r="V286" s="1">
        <v>61</v>
      </c>
      <c r="W286" s="128">
        <f>VLOOKUP($B286&amp;"__wt",'SegEnds_Xtal_BW#'!$A:$Z,23,FALSE)</f>
        <v>34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57</v>
      </c>
      <c r="AF286" s="1">
        <f>VLOOKUP(A286,'SegEnds_NonXtal_Prot#'!A:AL,22,FALSE)-VLOOKUP(A286,'SegEnds_NonXtal_Prot#'!A:AL,19,FALSE)</f>
        <v>20</v>
      </c>
      <c r="AG286" s="1" t="e">
        <f>VLOOKUP(A286,'SegEnds_NonXtal_Prot#'!A:AL,28,FALSE)-VLOOKUP(A286,'SegEnds_NonXtal_Prot#'!A:AL,25,FALSE)</f>
        <v>#VALUE!</v>
      </c>
      <c r="AH286" s="1">
        <f>VLOOKUP(A286,'SegEnds_NonXtal_Prot#'!A:AL,28,FALSE)-VLOOKUP(A286,'SegEnds_NonXtal_Prot#'!A:AL,22,FALSE)</f>
        <v>30</v>
      </c>
      <c r="AI286" s="1">
        <f>VLOOKUP(A286,'SegEnds_NonXtal_Prot#'!A:AL,31,FALSE)-VLOOKUP(A286,'SegEnds_NonXtal_Prot#'!A:AL,28,FALSE)</f>
        <v>56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365</v>
      </c>
      <c r="B287" s="1" t="str">
        <f>VLOOKUP(A287,Xtal_Templ!A:B,2,FALSE)</f>
        <v>pe2r4_human</v>
      </c>
      <c r="C287" s="5">
        <f>VLOOKUP($B287&amp;"__wt",'SegEnds_Xtal_BW#'!$A:$Z,3,FALSE)</f>
        <v>33</v>
      </c>
      <c r="D287" s="1">
        <f>VLOOKUP($B287&amp;"__wt",'SegEnds_Xtal_BW#'!$A:$Z,4,FALSE)</f>
        <v>58</v>
      </c>
      <c r="E287" s="1" t="str">
        <f>VLOOKUP($B287&amp;"__wt",'SegEnds_Xtal_BW#'!$A:$Z,5,FALSE)</f>
        <v>-</v>
      </c>
      <c r="F287" s="1" t="str">
        <f>VLOOKUP($B287&amp;"__wt",'SegEnds_Xtal_BW#'!$A:$Z,6,FALSE)</f>
        <v>-</v>
      </c>
      <c r="G287" s="1">
        <v>37</v>
      </c>
      <c r="H287" s="12"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22</v>
      </c>
      <c r="V287" s="1">
        <v>61</v>
      </c>
      <c r="W287" s="1">
        <v>31</v>
      </c>
      <c r="X287" s="108">
        <v>56</v>
      </c>
      <c r="Y287" s="1">
        <f>VLOOKUP($B287&amp;"__wt",'SegEnds_Xtal_BW#'!$A:$Z,25,FALSE)</f>
        <v>47</v>
      </c>
      <c r="Z287" s="1">
        <f>VLOOKUP($B287&amp;"__wt",'SegEnds_Xtal_BW#'!$A:$Z,26,FALSE)</f>
        <v>60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29</v>
      </c>
      <c r="AC287" s="1" t="e">
        <f>VLOOKUP(A287,'SegEnds_NonXtal_Prot#'!A:AL,10,FALSE)-VLOOKUP(A287,'SegEnds_NonXtal_Prot#'!A:AL,7,FALSE)</f>
        <v>#VALUE!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57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53</v>
      </c>
      <c r="AI287" s="1">
        <f>VLOOKUP(A287,'SegEnds_NonXtal_Prot#'!A:AL,31,FALSE)-VLOOKUP(A287,'SegEnds_NonXtal_Prot#'!A:AL,28,FALSE)</f>
        <v>57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151</v>
      </c>
      <c r="B288" s="1" t="str">
        <f>VLOOKUP(A288,Xtal_Templ!A:B,2,FALSE)</f>
        <v>mc4r_human</v>
      </c>
      <c r="C288" s="5">
        <f>VLOOKUP($B288&amp;"__wt",'SegEnds_Xtal_BW#'!$A:$Z,3,FALSE)</f>
        <v>35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 t="s">
        <v>23</v>
      </c>
      <c r="J288" s="1" t="s">
        <v>23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 t="str">
        <f>VLOOKUP($B288&amp;"__wt",'SegEnds_Xtal_BW#'!$A:$Z,17,FALSE)</f>
        <v>-</v>
      </c>
      <c r="R288" s="1" t="str">
        <f>VLOOKUP($B288&amp;"__wt",'SegEnds_Xtal_BW#'!$A:$Z,18,FALSE)</f>
        <v>-</v>
      </c>
      <c r="S288" s="108">
        <v>36</v>
      </c>
      <c r="T288" s="1">
        <f t="array" ref="T288">INDEX(ICL3_classA!$G$2:$G$39,MATCH(MIN(ABS(AI288-ICL3_classA!$F$2:$F$39)),ABS(AI288-ICL3_classA!$F$2:$F$39),0))</f>
        <v>68</v>
      </c>
      <c r="U288" s="1">
        <f t="array" ref="U288">INDEX(ICL3_classA!$H$2:$H$39,MATCH(MIN(ABS(AI288-ICL3_classA!$F$2:$F$39)),ABS(AI288-ICL3_classA!$F$2:$F$39),0))</f>
        <v>24</v>
      </c>
      <c r="V288" s="1">
        <v>61</v>
      </c>
      <c r="W288" s="128">
        <f>VLOOKUP($B288&amp;"__wt",'SegEnds_Xtal_BW#'!$A:$Z,23,FALSE)</f>
        <v>34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58</v>
      </c>
      <c r="AF288" s="1">
        <f>VLOOKUP(A288,'SegEnds_NonXtal_Prot#'!A:AL,22,FALSE)-VLOOKUP(A288,'SegEnds_NonXtal_Prot#'!A:AL,19,FALSE)</f>
        <v>20</v>
      </c>
      <c r="AG288" s="1" t="e">
        <f>VLOOKUP(A288,'SegEnds_NonXtal_Prot#'!A:AL,28,FALSE)-VLOOKUP(A288,'SegEnds_NonXtal_Prot#'!A:AL,25,FALSE)</f>
        <v>#VALUE!</v>
      </c>
      <c r="AH288" s="1">
        <f>VLOOKUP(A288,'SegEnds_NonXtal_Prot#'!A:AL,28,FALSE)-VLOOKUP(A288,'SegEnds_NonXtal_Prot#'!A:AL,22,FALSE)</f>
        <v>30</v>
      </c>
      <c r="AI288" s="1">
        <f>VLOOKUP(A288,'SegEnds_NonXtal_Prot#'!A:AL,31,FALSE)-VLOOKUP(A288,'SegEnds_NonXtal_Prot#'!A:AL,28,FALSE)</f>
        <v>49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295</v>
      </c>
      <c r="B289" s="1" t="str">
        <f>VLOOKUP(A289,Xtal_Templ!A:B,2,FALSE)</f>
        <v>mc4r_human</v>
      </c>
      <c r="C289" s="5">
        <f>VLOOKUP($B289&amp;"__wt",'SegEnds_Xtal_BW#'!$A:$Z,3,FALSE)</f>
        <v>35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 t="s">
        <v>23</v>
      </c>
      <c r="J289" s="1" t="s">
        <v>23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 t="str">
        <f>VLOOKUP($B289&amp;"__wt",'SegEnds_Xtal_BW#'!$A:$Z,17,FALSE)</f>
        <v>-</v>
      </c>
      <c r="R289" s="1" t="str">
        <f>VLOOKUP($B289&amp;"__wt",'SegEnds_Xtal_BW#'!$A:$Z,18,FALSE)</f>
        <v>-</v>
      </c>
      <c r="S289" s="108">
        <v>36</v>
      </c>
      <c r="T289" s="1">
        <f t="array" ref="T289">INDEX(ICL3_classA!$G$2:$G$39,MATCH(MIN(ABS(AI289-ICL3_classA!$F$2:$F$39)),ABS(AI289-ICL3_classA!$F$2:$F$39),0))</f>
        <v>73</v>
      </c>
      <c r="U289" s="108">
        <v>27</v>
      </c>
      <c r="V289" s="1">
        <v>61</v>
      </c>
      <c r="W289" s="128">
        <f>VLOOKUP($B289&amp;"__wt",'SegEnds_Xtal_BW#'!$A:$Z,23,FALSE)</f>
        <v>34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58</v>
      </c>
      <c r="AF289" s="1">
        <f>VLOOKUP(A289,'SegEnds_NonXtal_Prot#'!A:AL,22,FALSE)-VLOOKUP(A289,'SegEnds_NonXtal_Prot#'!A:AL,19,FALSE)</f>
        <v>20</v>
      </c>
      <c r="AG289" s="1" t="e">
        <f>VLOOKUP(A289,'SegEnds_NonXtal_Prot#'!A:AL,28,FALSE)-VLOOKUP(A289,'SegEnds_NonXtal_Prot#'!A:AL,25,FALSE)</f>
        <v>#VALUE!</v>
      </c>
      <c r="AH289" s="1">
        <f>VLOOKUP(A289,'SegEnds_NonXtal_Prot#'!A:AL,28,FALSE)-VLOOKUP(A289,'SegEnds_NonXtal_Prot#'!A:AL,22,FALSE)</f>
        <v>30</v>
      </c>
      <c r="AI289" s="1">
        <f>VLOOKUP(A289,'SegEnds_NonXtal_Prot#'!A:AL,31,FALSE)-VLOOKUP(A289,'SegEnds_NonXtal_Prot#'!A:AL,28,FALSE)</f>
        <v>58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297</v>
      </c>
      <c r="B290" s="1" t="str">
        <f>VLOOKUP(A290,Xtal_Templ!A:B,2,FALSE)</f>
        <v>mc4r_human</v>
      </c>
      <c r="C290" s="5">
        <f>VLOOKUP($B290&amp;"__wt",'SegEnds_Xtal_BW#'!$A:$Z,3,FALSE)</f>
        <v>35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v>49</v>
      </c>
      <c r="J290" s="1" t="str">
        <f>VLOOKUP($B290&amp;"__wt",'SegEnds_Xtal_BW#'!$A:$Z,10,FALSE)</f>
        <v>-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08">
        <v>36</v>
      </c>
      <c r="T290" s="1">
        <f t="array" ref="T290">INDEX(ICL3_classA!$G$2:$G$39,MATCH(MIN(ABS(AI290-ICL3_classA!$F$2:$F$39)),ABS(AI290-ICL3_classA!$F$2:$F$39),0))</f>
        <v>73</v>
      </c>
      <c r="U290" s="108">
        <v>27</v>
      </c>
      <c r="V290" s="1">
        <v>61</v>
      </c>
      <c r="W290" s="128">
        <f>VLOOKUP($B290&amp;"__wt",'SegEnds_Xtal_BW#'!$A:$Z,23,FALSE)</f>
        <v>34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58</v>
      </c>
      <c r="AF290" s="1">
        <f>VLOOKUP(A290,'SegEnds_NonXtal_Prot#'!A:AL,22,FALSE)-VLOOKUP(A290,'SegEnds_NonXtal_Prot#'!A:AL,19,FALSE)</f>
        <v>20</v>
      </c>
      <c r="AG290" s="1" t="e">
        <f>VLOOKUP(A290,'SegEnds_NonXtal_Prot#'!A:AL,28,FALSE)-VLOOKUP(A290,'SegEnds_NonXtal_Prot#'!A:AL,25,FALSE)</f>
        <v>#VALUE!</v>
      </c>
      <c r="AH290" s="1">
        <f>VLOOKUP(A290,'SegEnds_NonXtal_Prot#'!A:AL,28,FALSE)-VLOOKUP(A290,'SegEnds_NonXtal_Prot#'!A:AL,22,FALSE)</f>
        <v>30</v>
      </c>
      <c r="AI290" s="1">
        <f>VLOOKUP(A290,'SegEnds_NonXtal_Prot#'!A:AL,31,FALSE)-VLOOKUP(A290,'SegEnds_NonXtal_Prot#'!A:AL,28,FALSE)</f>
        <v>56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308</v>
      </c>
      <c r="B291" s="1" t="str">
        <f>VLOOKUP(A291,Xtal_Templ!A:B,2,FALSE)</f>
        <v>mc4r_human</v>
      </c>
      <c r="C291" s="5">
        <f>VLOOKUP($B291&amp;"__wt",'SegEnds_Xtal_BW#'!$A:$Z,3,FALSE)</f>
        <v>35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67</v>
      </c>
      <c r="I291" s="1" t="s">
        <v>23</v>
      </c>
      <c r="J291" s="1" t="s">
        <v>23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08">
        <v>36</v>
      </c>
      <c r="T291" s="1">
        <f t="array" ref="T291">INDEX(ICL3_classA!$G$2:$G$39,MATCH(MIN(ABS(AI291-ICL3_classA!$F$2:$F$39)),ABS(AI291-ICL3_classA!$F$2:$F$39),0))</f>
        <v>73</v>
      </c>
      <c r="U291" s="108">
        <v>27</v>
      </c>
      <c r="V291" s="1">
        <v>61</v>
      </c>
      <c r="W291" s="128">
        <f>VLOOKUP($B291&amp;"__wt",'SegEnds_Xtal_BW#'!$A:$Z,23,FALSE)</f>
        <v>34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58</v>
      </c>
      <c r="AF291" s="1">
        <f>VLOOKUP(A291,'SegEnds_NonXtal_Prot#'!A:AL,22,FALSE)-VLOOKUP(A291,'SegEnds_NonXtal_Prot#'!A:AL,19,FALSE)</f>
        <v>20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30</v>
      </c>
      <c r="AI291" s="1">
        <f>VLOOKUP(A291,'SegEnds_NonXtal_Prot#'!A:AL,31,FALSE)-VLOOKUP(A291,'SegEnds_NonXtal_Prot#'!A:AL,28,FALSE)</f>
        <v>57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358</v>
      </c>
      <c r="B292" s="1" t="str">
        <f>VLOOKUP(A292,Xtal_Templ!A:B,2,FALSE)</f>
        <v>pe2r4_human</v>
      </c>
      <c r="C292" s="5">
        <f>VLOOKUP($B292&amp;"__wt",'SegEnds_Xtal_BW#'!$A:$Z,3,FALSE)</f>
        <v>33</v>
      </c>
      <c r="D292" s="1">
        <f>VLOOKUP($B292&amp;"__wt",'SegEnds_Xtal_BW#'!$A:$Z,4,FALSE)</f>
        <v>58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INDEX(ICL3_classA!$G$2:$G$39,MATCH(MIN(ABS(AI292-ICL3_classA!$F$2:$F$39)),ABS(AI292-ICL3_classA!$F$2:$F$39),0))</f>
        <v>76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">
        <v>28</v>
      </c>
      <c r="X292" s="123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38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58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29</v>
      </c>
      <c r="AH292" s="1">
        <f>VLOOKUP(A292,'SegEnds_NonXtal_Prot#'!A:AL,28,FALSE)-VLOOKUP(A292,'SegEnds_NonXtal_Prot#'!A:AL,22,FALSE)</f>
        <v>55</v>
      </c>
      <c r="AI292" s="1">
        <f>VLOOKUP(A292,'SegEnds_NonXtal_Prot#'!A:AL,31,FALSE)-VLOOKUP(A292,'SegEnds_NonXtal_Prot#'!A:AL,28,FALSE)</f>
        <v>68</v>
      </c>
      <c r="AJ292" s="1">
        <f>VLOOKUP(A292,'SegEnds_NonXtal_Prot#'!A:AL,34,FALSE)-VLOOKUP(A292,'SegEnds_NonXtal_Prot#'!A:AL,31,FALSE)</f>
        <v>40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203</v>
      </c>
      <c r="B293" s="1" t="str">
        <f>VLOOKUP(A293,Xtal_Templ!A:B,2,FALSE)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INDEX(ICL3_classA!$G$2:$G$39,MATCH(MIN(ABS(AI293-ICL3_classA!$F$2:$F$39)),ABS(AI293-ICL3_classA!$F$2:$F$39),0))</f>
        <v>67</v>
      </c>
      <c r="U293" s="1">
        <f t="array" ref="U293">INDEX(ICL3_classA!$H$2:$H$39,MATCH(MIN(ABS(AI293-ICL3_classA!$F$2:$F$39)),ABS(AI293-ICL3_classA!$F$2:$F$39),0))</f>
        <v>26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14</v>
      </c>
      <c r="AD293" s="1">
        <f>VLOOKUP(A293,'SegEnds_NonXtal_Prot#'!A:AL,13,FALSE)-VLOOKUP(A293,'SegEnds_NonXtal_Prot#'!A:AL,10,FALSE)</f>
        <v>28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24</v>
      </c>
      <c r="AH293" s="1">
        <f>VLOOKUP(A293,'SegEnds_NonXtal_Prot#'!A:AL,28,FALSE)-VLOOKUP(A293,'SegEnds_NonXtal_Prot#'!A:AL,22,FALSE)</f>
        <v>47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282</v>
      </c>
      <c r="B294" s="1" t="str">
        <f>VLOOKUP(A294,Xtal_Templ!A:B,2,FALSE)</f>
        <v>agtr1_human</v>
      </c>
      <c r="C294" s="5">
        <f>VLOOKUP($B294&amp;"__wt",'SegEnds_Xtal_BW#'!$A:$Z,3,FALSE)</f>
        <v>28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INDEX(ICL3_classA!$G$2:$G$39,MATCH(MIN(ABS(AI294-ICL3_classA!$F$2:$F$39)),ABS(AI294-ICL3_classA!$F$2:$F$39),0))</f>
        <v>67</v>
      </c>
      <c r="U294" s="1">
        <f t="array" ref="U294">INDEX(ICL3_classA!$H$2:$H$39,MATCH(MIN(ABS(AI294-ICL3_classA!$F$2:$F$39)),ABS(AI294-ICL3_classA!$F$2:$F$39),0))</f>
        <v>28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24</v>
      </c>
      <c r="AH294" s="1">
        <f>VLOOKUP(A294,'SegEnds_NonXtal_Prot#'!A:AL,28,FALSE)-VLOOKUP(A294,'SegEnds_NonXtal_Prot#'!A:AL,22,FALSE)</f>
        <v>47</v>
      </c>
      <c r="AI294" s="1">
        <f>VLOOKUP(A294,'SegEnds_NonXtal_Prot#'!A:AL,31,FALSE)-VLOOKUP(A294,'SegEnds_NonXtal_Prot#'!A:AL,28,FALSE)</f>
        <v>45</v>
      </c>
      <c r="AJ294" s="1">
        <f>VLOOKUP(A294,'SegEnds_NonXtal_Prot#'!A:AL,34,FALSE)-VLOOKUP(A294,'SegEnds_NonXtal_Prot#'!A:AL,31,FALSE)</f>
        <v>36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283</v>
      </c>
      <c r="B295" s="1" t="str">
        <f>VLOOKUP(A295,Xtal_Templ!A:B,2,FALSE)</f>
        <v>aa2ar_human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INDEX(ICL3_classA!$G$2:$G$39,MATCH(MIN(ABS(AI295-ICL3_classA!$F$2:$F$39)),ABS(AI295-ICL3_classA!$F$2:$F$39),0))</f>
        <v>67</v>
      </c>
      <c r="U295" s="1">
        <f t="array" ref="U295">INDEX(ICL3_classA!$H$2:$H$39,MATCH(MIN(ABS(AI295-ICL3_classA!$F$2:$F$39)),ABS(AI295-ICL3_classA!$F$2:$F$39),0))</f>
        <v>28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 t="e">
        <f>VLOOKUP(A295,'SegEnds_NonXtal_Prot#'!A:AL,10,FALSE)-VLOOKUP(A295,'SegEnds_NonXtal_Prot#'!A:AL,7,FALSE)</f>
        <v>#VALUE!</v>
      </c>
      <c r="AD295" s="1" t="e">
        <f>VLOOKUP(A295,'SegEnds_NonXtal_Prot#'!A:AL,13,FALSE)-VLOOKUP(A295,'SegEnds_NonXtal_Prot#'!A:AL,10,FALSE)</f>
        <v>#VALUE!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24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45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284</v>
      </c>
      <c r="B296" s="1" t="str">
        <f>VLOOKUP(A296,Xtal_Templ!A:B,2,FALSE)</f>
        <v>mtr1a_human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67</v>
      </c>
      <c r="U296" s="1">
        <f t="array" ref="U296">INDEX(ICL3_classA!$H$2:$H$39,MATCH(MIN(ABS(AI296-ICL3_classA!$F$2:$F$39)),ABS(AI296-ICL3_classA!$F$2:$F$39),0))</f>
        <v>28</v>
      </c>
      <c r="V296" s="1">
        <v>61</v>
      </c>
      <c r="W296" s="1">
        <v>31</v>
      </c>
      <c r="X296" s="108"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29</v>
      </c>
      <c r="AC296" s="1" t="e">
        <f>VLOOKUP(A296,'SegEnds_NonXtal_Prot#'!A:AL,10,FALSE)-VLOOKUP(A296,'SegEnds_NonXtal_Prot#'!A:AL,7,FALSE)</f>
        <v>#VALUE!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59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26</v>
      </c>
      <c r="AH296" s="1">
        <f>VLOOKUP(A296,'SegEnds_NonXtal_Prot#'!A:AL,28,FALSE)-VLOOKUP(A296,'SegEnds_NonXtal_Prot#'!A:AL,22,FALSE)</f>
        <v>49</v>
      </c>
      <c r="AI296" s="1">
        <f>VLOOKUP(A296,'SegEnds_NonXtal_Prot#'!A:AL,31,FALSE)-VLOOKUP(A296,'SegEnds_NonXtal_Prot#'!A:AL,28,FALSE)</f>
        <v>45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290</v>
      </c>
      <c r="B297" s="1" t="str">
        <f>VLOOKUP(A297,Xtal_Templ!A:B,2,FALSE)</f>
        <v>hrh1_human</v>
      </c>
      <c r="C297" s="5">
        <f>VLOOKUP($B297&amp;"__wt",'SegEnds_Xtal_BW#'!$A:$Z,3,FALSE)</f>
        <v>34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62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INDEX(ICL3_classA!$G$2:$G$39,MATCH(MIN(ABS(AI297-ICL3_classA!$F$2:$F$39)),ABS(AI297-ICL3_classA!$F$2:$F$39),0))</f>
        <v>67</v>
      </c>
      <c r="U297" s="1">
        <f t="array" ref="U297">INDEX(ICL3_classA!$H$2:$H$39,MATCH(MIN(ABS(AI297-ICL3_classA!$F$2:$F$39)),ABS(AI297-ICL3_classA!$F$2:$F$39),0))</f>
        <v>26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14</v>
      </c>
      <c r="AD297" s="1">
        <f>VLOOKUP(A297,'SegEnds_NonXtal_Prot#'!A:AL,13,FALSE)-VLOOKUP(A297,'SegEnds_NonXtal_Prot#'!A:AL,10,FALSE)</f>
        <v>28</v>
      </c>
      <c r="AE297" s="1">
        <f>VLOOKUP(A297,'SegEnds_NonXtal_Prot#'!A:AL,16,FALSE)-VLOOKUP(A297,'SegEnds_NonXtal_Prot#'!A:AL,10,FALSE)</f>
        <v>59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24</v>
      </c>
      <c r="AH297" s="1">
        <f>VLOOKUP(A297,'SegEnds_NonXtal_Prot#'!A:AL,28,FALSE)-VLOOKUP(A297,'SegEnds_NonXtal_Prot#'!A:AL,22,FALSE)</f>
        <v>47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36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374</v>
      </c>
      <c r="B298" s="1" t="str">
        <f>VLOOKUP(A298,Xtal_Templ!A:B,2,FALSE)</f>
        <v>aa1r_human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67</v>
      </c>
      <c r="I298" s="1">
        <f>VLOOKUP($B298&amp;"__wt",'SegEnds_Xtal_BW#'!$A:$Z,9,FALSE)</f>
        <v>50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08">
        <v>56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72</v>
      </c>
      <c r="U298" s="1">
        <f t="array" ref="U298">INDEX(ICL3_classA!$H$2:$H$39,MATCH(MIN(ABS(AI298-ICL3_classA!$F$2:$F$39)),ABS(AI298-ICL3_classA!$F$2:$F$39),0))</f>
        <v>23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59</v>
      </c>
      <c r="AF298" s="1">
        <f>VLOOKUP(A298,'SegEnds_NonXtal_Prot#'!A:AL,22,FALSE)-VLOOKUP(A298,'SegEnds_NonXtal_Prot#'!A:AL,19,FALSE)</f>
        <v>19</v>
      </c>
      <c r="AG298" s="1">
        <f>VLOOKUP(A298,'SegEnds_NonXtal_Prot#'!A:AL,28,FALSE)-VLOOKUP(A298,'SegEnds_NonXtal_Prot#'!A:AL,25,FALSE)</f>
        <v>28</v>
      </c>
      <c r="AH298" s="1">
        <f>VLOOKUP(A298,'SegEnds_NonXtal_Prot#'!A:AL,28,FALSE)-VLOOKUP(A298,'SegEnds_NonXtal_Prot#'!A:AL,22,FALSE)</f>
        <v>55</v>
      </c>
      <c r="AI298" s="1">
        <f>VLOOKUP(A298,'SegEnds_NonXtal_Prot#'!A:AL,31,FALSE)-VLOOKUP(A298,'SegEnds_NonXtal_Prot#'!A:AL,28,FALSE)</f>
        <v>52</v>
      </c>
      <c r="AJ298" s="1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375</v>
      </c>
      <c r="B299" s="1" t="str">
        <f>VLOOKUP(A299,Xtal_Templ!A:B,2,FALSE)</f>
        <v>aa1r_human</v>
      </c>
      <c r="C299" s="5">
        <f>VLOOKUP($B299&amp;"__wt",'SegEnds_Xtal_BW#'!$A:$Z,3,FALSE)</f>
        <v>29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67</v>
      </c>
      <c r="I299" s="1">
        <f>VLOOKUP($B299&amp;"__wt",'SegEnds_Xtal_BW#'!$A:$Z,9,FALSE)</f>
        <v>50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08">
        <v>56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72</v>
      </c>
      <c r="U299" s="1">
        <f t="array" ref="U299">INDEX(ICL3_classA!$H$2:$H$39,MATCH(MIN(ABS(AI299-ICL3_classA!$F$2:$F$39)),ABS(AI299-ICL3_classA!$F$2:$F$39),0))</f>
        <v>23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69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24</v>
      </c>
      <c r="AE299" s="1">
        <f>VLOOKUP(A299,'SegEnds_NonXtal_Prot#'!A:AL,16,FALSE)-VLOOKUP(A299,'SegEnds_NonXtal_Prot#'!A:AL,10,FALSE)</f>
        <v>59</v>
      </c>
      <c r="AF299" s="1">
        <f>VLOOKUP(A299,'SegEnds_NonXtal_Prot#'!A:AL,22,FALSE)-VLOOKUP(A299,'SegEnds_NonXtal_Prot#'!A:AL,19,FALSE)</f>
        <v>19</v>
      </c>
      <c r="AG299" s="1">
        <f>VLOOKUP(A299,'SegEnds_NonXtal_Prot#'!A:AL,28,FALSE)-VLOOKUP(A299,'SegEnds_NonXtal_Prot#'!A:AL,25,FALSE)</f>
        <v>28</v>
      </c>
      <c r="AH299" s="1">
        <f>VLOOKUP(A299,'SegEnds_NonXtal_Prot#'!A:AL,28,FALSE)-VLOOKUP(A299,'SegEnds_NonXtal_Prot#'!A:AL,22,FALSE)</f>
        <v>55</v>
      </c>
      <c r="AI299" s="1">
        <f>VLOOKUP(A299,'SegEnds_NonXtal_Prot#'!A:AL,31,FALSE)-VLOOKUP(A299,'SegEnds_NonXtal_Prot#'!A:AL,28,FALSE)</f>
        <v>52</v>
      </c>
      <c r="AJ299" s="1">
        <f>VLOOKUP(A299,'SegEnds_NonXtal_Prot#'!A:AL,34,FALSE)-VLOOKUP(A299,'SegEnds_NonXtal_Prot#'!A:AL,31,FALSE)</f>
        <v>35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394</v>
      </c>
      <c r="B300" s="1" t="str">
        <f>VLOOKUP(A300,Xtal_Templ!A:B,2,FALSE)</f>
        <v>aa2ar_human</v>
      </c>
      <c r="C300" s="5">
        <f>VLOOKUP($B300&amp;"__wt",'SegEnds_Xtal_BW#'!$A:$Z,3,FALSE)</f>
        <v>27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2">
        <f>VLOOKUP($B300&amp;"__wt",'SegEnds_Xtal_BW#'!$A:$Z,8,FALSE)</f>
        <v>67</v>
      </c>
      <c r="I300" s="1">
        <v>49</v>
      </c>
      <c r="J300" s="1">
        <f>VLOOKUP($B300&amp;"__wt",'SegEnds_Xtal_BW#'!$A:$Z,10,FALSE)</f>
        <v>52</v>
      </c>
      <c r="K300" s="12">
        <v>18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38</v>
      </c>
      <c r="P300" s="1">
        <f>VLOOKUP($B300&amp;"__wt",'SegEnds_Xtal_BW#'!$A:$Z,16,FALSE)</f>
        <v>63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34</v>
      </c>
      <c r="T300" s="1">
        <f t="array" ref="T300">INDEX(ICL3_classA!$G$2:$G$39,MATCH(MIN(ABS(AI300-ICL3_classA!$F$2:$F$39)),ABS(AI300-ICL3_classA!$F$2:$F$39),0))</f>
        <v>67</v>
      </c>
      <c r="U300" s="1">
        <f t="array" ref="U300">INDEX(ICL3_classA!$H$2:$H$39,MATCH(MIN(ABS(AI300-ICL3_classA!$F$2:$F$39)),ABS(AI300-ICL3_classA!$F$2:$F$39),0))</f>
        <v>26</v>
      </c>
      <c r="V300" s="1">
        <v>61</v>
      </c>
      <c r="W300" s="1">
        <v>31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69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14</v>
      </c>
      <c r="AD300" s="1">
        <f>VLOOKUP(A300,'SegEnds_NonXtal_Prot#'!A:AL,13,FALSE)-VLOOKUP(A300,'SegEnds_NonXtal_Prot#'!A:AL,10,FALSE)</f>
        <v>28</v>
      </c>
      <c r="AE300" s="1">
        <f>VLOOKUP(A300,'SegEnds_NonXtal_Prot#'!A:AL,16,FALSE)-VLOOKUP(A300,'SegEnds_NonXtal_Prot#'!A:AL,10,FALSE)</f>
        <v>59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24</v>
      </c>
      <c r="AH300" s="1">
        <f>VLOOKUP(A300,'SegEnds_NonXtal_Prot#'!A:AL,28,FALSE)-VLOOKUP(A300,'SegEnds_NonXtal_Prot#'!A:AL,22,FALSE)</f>
        <v>47</v>
      </c>
      <c r="AI300" s="1">
        <f>VLOOKUP(A300,'SegEnds_NonXtal_Prot#'!A:AL,31,FALSE)-VLOOKUP(A300,'SegEnds_NonXtal_Prot#'!A:AL,28,FALSE)</f>
        <v>46</v>
      </c>
      <c r="AJ300" s="1">
        <f>VLOOKUP(A300,'SegEnds_NonXtal_Prot#'!A:AL,34,FALSE)-VLOOKUP(A300,'SegEnds_NonXtal_Prot#'!A:AL,31,FALSE)</f>
        <v>36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214</v>
      </c>
      <c r="B301" s="1" t="str">
        <f>VLOOKUP(A301,Xtal_Templ!A:B,2,FALSE)</f>
        <v>mtr1a_human</v>
      </c>
      <c r="C301" s="5">
        <f>VLOOKUP($B301&amp;"__wt",'SegEnds_Xtal_BW#'!$A:$Z,3,FALSE)</f>
        <v>28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2">
        <f>VLOOKUP($B301&amp;"__wt",'SegEnds_Xtal_BW#'!$A:$Z,8,FALSE)</f>
        <v>68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56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35</v>
      </c>
      <c r="T301" s="1">
        <f t="array" ref="T301">INDEX(ICL3_classA!$G$2:$G$39,MATCH(MIN(ABS(AI301-ICL3_classA!$F$2:$F$39)),ABS(AI301-ICL3_classA!$F$2:$F$39),0))</f>
        <v>73</v>
      </c>
      <c r="U301" s="1">
        <f t="array" ref="U301">INDEX(ICL3_classA!$H$2:$H$39,MATCH(MIN(ABS(AI301-ICL3_classA!$F$2:$F$39)),ABS(AI301-ICL3_classA!$F$2:$F$39),0))</f>
        <v>22</v>
      </c>
      <c r="V301" s="1">
        <v>61</v>
      </c>
      <c r="W301" s="128">
        <f>VLOOKUP($B301&amp;"__wt",'SegEnds_Xtal_BW#'!$A:$Z,23,FALSE)</f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63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60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27</v>
      </c>
      <c r="AH301" s="1">
        <f>VLOOKUP(A301,'SegEnds_NonXtal_Prot#'!A:AL,28,FALSE)-VLOOKUP(A301,'SegEnds_NonXtal_Prot#'!A:AL,22,FALSE)</f>
        <v>55</v>
      </c>
      <c r="AI301" s="1">
        <f>VLOOKUP(A301,'SegEnds_NonXtal_Prot#'!A:AL,31,FALSE)-VLOOKUP(A301,'SegEnds_NonXtal_Prot#'!A:AL,28,FALSE)</f>
        <v>57</v>
      </c>
      <c r="AJ301" s="1">
        <f>VLOOKUP(A301,'SegEnds_NonXtal_Prot#'!A:AL,34,FALSE)-VLOOKUP(A301,'SegEnds_NonXtal_Prot#'!A:AL,31,FALSE)</f>
        <v>38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272</v>
      </c>
      <c r="B302" s="1" t="str">
        <f>VLOOKUP(A302,Xtal_Templ!A:B,2,FALSE)</f>
        <v>ox1r_human</v>
      </c>
      <c r="C302" s="5">
        <f>VLOOKUP($B302&amp;"__wt",'SegEnds_Xtal_BW#'!$A:$Z,3,FALSE)</f>
        <v>32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f>VLOOKUP($B302&amp;"__wt",'SegEnds_Xtal_BW#'!$A:$Z,8,FALSE)</f>
        <v>68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35</v>
      </c>
      <c r="T302" s="1">
        <f t="array" ref="T302">INDEX(ICL3_classA!$G$2:$G$39,MATCH(MIN(ABS(AI302-ICL3_classA!$F$2:$F$39)),ABS(AI302-ICL3_classA!$F$2:$F$39),0))</f>
        <v>74</v>
      </c>
      <c r="U302" s="1">
        <f t="array" ref="U302">INDEX(ICL3_classA!$H$2:$H$39,MATCH(MIN(ABS(AI302-ICL3_classA!$F$2:$F$39)),ABS(AI302-ICL3_classA!$F$2:$F$39),0))</f>
        <v>21</v>
      </c>
      <c r="V302" s="1">
        <v>61</v>
      </c>
      <c r="W302" s="1">
        <v>32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63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61</v>
      </c>
      <c r="AF302" s="1">
        <f>VLOOKUP(A302,'SegEnds_NonXtal_Prot#'!A:AL,22,FALSE)-VLOOKUP(A302,'SegEnds_NonXtal_Prot#'!A:AL,19,FALSE)</f>
        <v>20</v>
      </c>
      <c r="AG302" s="1" t="e">
        <f>VLOOKUP(A302,'SegEnds_NonXtal_Prot#'!A:AL,28,FALSE)-VLOOKUP(A302,'SegEnds_NonXtal_Prot#'!A:AL,25,FALSE)</f>
        <v>#VALUE!</v>
      </c>
      <c r="AH302" s="1">
        <f>VLOOKUP(A302,'SegEnds_NonXtal_Prot#'!A:AL,28,FALSE)-VLOOKUP(A302,'SegEnds_NonXtal_Prot#'!A:AL,22,FALSE)</f>
        <v>72</v>
      </c>
      <c r="AI302" s="1">
        <f>VLOOKUP(A302,'SegEnds_NonXtal_Prot#'!A:AL,31,FALSE)-VLOOKUP(A302,'SegEnds_NonXtal_Prot#'!A:AL,28,FALSE)</f>
        <v>61</v>
      </c>
      <c r="AJ302" s="1">
        <f>VLOOKUP(A302,'SegEnds_NonXtal_Prot#'!A:AL,34,FALSE)-VLOOKUP(A302,'SegEnds_NonXtal_Prot#'!A:AL,31,FALSE)</f>
        <v>34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1" t="s">
        <v>220</v>
      </c>
      <c r="B303" s="1" t="str">
        <f>VLOOKUP(A303,Xtal_Templ!A:B,2,FALSE)</f>
        <v>s1pr1_human</v>
      </c>
      <c r="C303" s="5">
        <f>VLOOKUP($B303&amp;"__wt",'SegEnds_Xtal_BW#'!$A:$Z,3,FALSE)</f>
        <v>29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67</v>
      </c>
      <c r="I303" s="1">
        <f>VLOOKUP($B303&amp;"__wt",'SegEnds_Xtal_BW#'!$A:$Z,9,FALSE)</f>
        <v>47</v>
      </c>
      <c r="J303" s="1">
        <f>VLOOKUP($B303&amp;"__wt",'SegEnds_Xtal_BW#'!$A:$Z,10,FALSE)</f>
        <v>53</v>
      </c>
      <c r="K303" s="12">
        <v>18</v>
      </c>
      <c r="L303" s="1">
        <f>VLOOKUP($B303&amp;"__wt",'SegEnds_Xtal_BW#'!$A:$Z,12,FALSE)</f>
        <v>56</v>
      </c>
      <c r="M303" s="108" t="s">
        <v>23</v>
      </c>
      <c r="N303" s="12" t="s">
        <v>23</v>
      </c>
      <c r="O303" s="87">
        <f>VLOOKUP($B303&amp;"__wt",'SegEnds_Xtal_BW#'!$A:$Z,15,FALSE)</f>
        <v>38</v>
      </c>
      <c r="P303" s="1">
        <f>VLOOKUP($B303&amp;"__wt",'SegEnds_Xtal_BW#'!$A:$Z,16,FALSE)</f>
        <v>63</v>
      </c>
      <c r="Q303" s="1" t="str">
        <f>VLOOKUP($B303&amp;"__wt",'SegEnds_Xtal_BW#'!$A:$Z,17,FALSE)</f>
        <v>-</v>
      </c>
      <c r="R303" s="1" t="str">
        <f>VLOOKUP($B303&amp;"__wt",'SegEnds_Xtal_BW#'!$A:$Z,18,FALSE)</f>
        <v>-</v>
      </c>
      <c r="S303" s="1">
        <f>VLOOKUP($B303&amp;"__wt",'SegEnds_Xtal_BW#'!$A:$Z,19,FALSE)</f>
        <v>36</v>
      </c>
      <c r="T303" s="1">
        <f t="array" ref="T303">INDEX(ICL3_classA!$G$2:$G$39,MATCH(MIN(ABS(AI303-ICL3_classA!$F$2:$F$39)),ABS(AI303-ICL3_classA!$F$2:$F$39),0))</f>
        <v>76</v>
      </c>
      <c r="U303" s="1">
        <f t="array" ref="U303">INDEX(ICL3_classA!$H$2:$H$39,MATCH(MIN(ABS(AI303-ICL3_classA!$F$2:$F$39)),ABS(AI303-ICL3_classA!$F$2:$F$39),0))</f>
        <v>24</v>
      </c>
      <c r="V303" s="1">
        <v>61</v>
      </c>
      <c r="W303" s="1">
        <v>32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59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 t="e">
        <f>VLOOKUP(A303,'SegEnds_NonXtal_Prot#'!A:AL,10,FALSE)-VLOOKUP(A303,'SegEnds_NonXtal_Prot#'!A:AL,7,FALSE)</f>
        <v>#VALUE!</v>
      </c>
      <c r="AD303" s="1">
        <f>VLOOKUP(A303,'SegEnds_NonXtal_Prot#'!A:AL,13,FALSE)-VLOOKUP(A303,'SegEnds_NonXtal_Prot#'!A:AL,10,FALSE)</f>
        <v>26</v>
      </c>
      <c r="AE303" s="1">
        <f>VLOOKUP(A303,'SegEnds_NonXtal_Prot#'!A:AL,16,FALSE)-VLOOKUP(A303,'SegEnds_NonXtal_Prot#'!A:AL,10,FALSE)</f>
        <v>69</v>
      </c>
      <c r="AF303" s="1" t="e">
        <f>VLOOKUP(A303,'SegEnds_NonXtal_Prot#'!A:AL,22,FALSE)-VLOOKUP(A303,'SegEnds_NonXtal_Prot#'!A:AL,19,FALSE)</f>
        <v>#VALUE!</v>
      </c>
      <c r="AG303" s="1" t="e">
        <f>VLOOKUP(A303,'SegEnds_NonXtal_Prot#'!A:AL,28,FALSE)-VLOOKUP(A303,'SegEnds_NonXtal_Prot#'!A:AL,25,FALSE)</f>
        <v>#VALUE!</v>
      </c>
      <c r="AH303" s="1">
        <f>VLOOKUP(A303,'SegEnds_NonXtal_Prot#'!A:AL,28,FALSE)-VLOOKUP(A303,'SegEnds_NonXtal_Prot#'!A:AL,22,FALSE)</f>
        <v>53</v>
      </c>
      <c r="AI303" s="1">
        <f>VLOOKUP(A303,'SegEnds_NonXtal_Prot#'!A:AL,31,FALSE)-VLOOKUP(A303,'SegEnds_NonXtal_Prot#'!A:AL,28,FALSE)</f>
        <v>114</v>
      </c>
      <c r="AJ303" s="1">
        <f>VLOOKUP(A303,'SegEnds_NonXtal_Prot#'!A:AL,34,FALSE)-VLOOKUP(A303,'SegEnds_NonXtal_Prot#'!A:AL,31,FALSE)</f>
        <v>34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s="42" customFormat="1" x14ac:dyDescent="0.2">
      <c r="A304" s="42" t="s">
        <v>402</v>
      </c>
      <c r="B304" s="42" t="str">
        <f>VLOOKUP(A304,Xtal_Templ!A:B,2,FALSE)</f>
        <v>crfr2_human</v>
      </c>
      <c r="C304" s="43">
        <f>VLOOKUP($B304&amp;"__wt",'SegEnds_Xtal_BW#'!$A:$Z,3,FALSE)</f>
        <v>19</v>
      </c>
      <c r="D304" s="42">
        <f>VLOOKUP($B304&amp;"__wt",'SegEnds_Xtal_BW#'!$A:$Z,4,FALSE)</f>
        <v>60</v>
      </c>
      <c r="E304" s="42">
        <f>VLOOKUP($B304&amp;"__wt",'SegEnds_Xtal_BW#'!$A:$Z,5,FALSE)</f>
        <v>48</v>
      </c>
      <c r="F304" s="42">
        <f>VLOOKUP($B304&amp;"__wt",'SegEnds_Xtal_BW#'!$A:$Z,6,FALSE)</f>
        <v>51</v>
      </c>
      <c r="G304" s="42">
        <v>37</v>
      </c>
      <c r="H304" s="101">
        <v>63</v>
      </c>
      <c r="I304" s="42" t="str">
        <f>VLOOKUP($B304&amp;"__wt",'SegEnds_Xtal_BW#'!$A:$Z,9,FALSE)</f>
        <v>-</v>
      </c>
      <c r="J304" s="42" t="str">
        <f>VLOOKUP($B304&amp;"__wt",'SegEnds_Xtal_BW#'!$A:$Z,10,FALSE)</f>
        <v>-</v>
      </c>
      <c r="K304" s="116">
        <v>22</v>
      </c>
      <c r="L304" s="42">
        <f>VLOOKUP($B304&amp;"__wt",'SegEnds_Xtal_BW#'!$A:$Z,12,FALSE)</f>
        <v>56</v>
      </c>
      <c r="M304" s="42" t="str">
        <f>VLOOKUP($B304&amp;"__wt",'SegEnds_Xtal_BW#'!$A:$Z,13,FALSE)</f>
        <v>-</v>
      </c>
      <c r="N304" s="101" t="str">
        <f>VLOOKUP($B304&amp;"__wt",'SegEnds_Xtal_BW#'!$A:$Z,14,FALSE)</f>
        <v>-</v>
      </c>
      <c r="O304" s="89">
        <f>VLOOKUP($B304&amp;"__wt",'SegEnds_Xtal_BW#'!$A:$Z,15,FALSE)</f>
        <v>41</v>
      </c>
      <c r="P304" s="42">
        <f>VLOOKUP($B304&amp;"__wt",'SegEnds_Xtal_BW#'!$A:$Z,16,FALSE)</f>
        <v>68</v>
      </c>
      <c r="Q304" s="42">
        <f>VLOOKUP($B304&amp;"__wt",'SegEnds_Xtal_BW#'!$A:$Z,17,FALSE)</f>
        <v>50</v>
      </c>
      <c r="R304" s="42">
        <f>VLOOKUP($B304&amp;"__wt",'SegEnds_Xtal_BW#'!$A:$Z,18,FALSE)</f>
        <v>52</v>
      </c>
      <c r="S304" s="1">
        <f>VLOOKUP($B304&amp;"__wt",'SegEnds_Xtal_BW#'!$A:$Z,19,FALSE)</f>
        <v>39</v>
      </c>
      <c r="T304" s="4">
        <f>VLOOKUP($B304&amp;"__wt",'SegEnds_Xtal_BW#'!$A:$Z,20,FALSE)</f>
        <v>71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2">
        <v>28</v>
      </c>
      <c r="X304" s="42">
        <f>VLOOKUP($B304&amp;"__wt",'SegEnds_Xtal_BW#'!$A:$Z,24,FALSE)</f>
        <v>56</v>
      </c>
      <c r="Y304" s="42">
        <f>VLOOKUP($B304&amp;"__wt",'SegEnds_Xtal_BW#'!$A:$Z,25,FALSE)</f>
        <v>47</v>
      </c>
      <c r="Z304" s="42">
        <f>VLOOKUP($B304&amp;"__wt",'SegEnds_Xtal_BW#'!$A:$Z,26,FALSE)</f>
        <v>72</v>
      </c>
      <c r="AA304" s="44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2">
        <f>VLOOKUP(A304,'SegEnds_NonXtal_Prot#'!A:AL,10,FALSE)-VLOOKUP(A304,'SegEnds_NonXtal_Prot#'!A:AL,7,FALSE)</f>
        <v>15</v>
      </c>
      <c r="AD304" s="42" t="e">
        <f>VLOOKUP(A304,'SegEnds_NonXtal_Prot#'!A:AL,13,FALSE)-VLOOKUP(A304,'SegEnds_NonXtal_Prot#'!A:AL,10,FALSE)</f>
        <v>#VALUE!</v>
      </c>
      <c r="AE304" s="42">
        <f>VLOOKUP(A304,'SegEnds_NonXtal_Prot#'!A:AL,16,FALSE)-VLOOKUP(A304,'SegEnds_NonXtal_Prot#'!A:AL,10,FALSE)</f>
        <v>50</v>
      </c>
      <c r="AF304" s="4" t="e">
        <f>VLOOKUP(A304,'SegEnds_NonXtal_Prot#'!A:AL,22,FALSE)-VLOOKUP(A304,'SegEnds_NonXtal_Prot#'!A:AL,19,FALSE)</f>
        <v>#VALUE!</v>
      </c>
      <c r="AG304" s="42">
        <f>VLOOKUP(A304,'SegEnds_NonXtal_Prot#'!A:AL,28,FALSE)-VLOOKUP(A304,'SegEnds_NonXtal_Prot#'!A:AL,25,FALSE)</f>
        <v>21</v>
      </c>
      <c r="AH304" s="4">
        <f>VLOOKUP(A304,'SegEnds_NonXtal_Prot#'!A:AL,28,FALSE)-VLOOKUP(A304,'SegEnds_NonXtal_Prot#'!A:AL,22,FALSE)</f>
        <v>43</v>
      </c>
      <c r="AI304" s="42">
        <f>VLOOKUP(A304,'SegEnds_NonXtal_Prot#'!A:AL,31,FALSE)-VLOOKUP(A304,'SegEnds_NonXtal_Prot#'!A:AL,28,FALSE)</f>
        <v>50</v>
      </c>
      <c r="AJ304" s="42">
        <f>VLOOKUP(A304,'SegEnds_NonXtal_Prot#'!A:AL,34,FALSE)-VLOOKUP(A304,'SegEnds_NonXtal_Prot#'!A:AL,31,FALSE)</f>
        <v>31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Xtal</v>
      </c>
    </row>
    <row r="305" spans="1:38" x14ac:dyDescent="0.2">
      <c r="A305" s="4" t="s">
        <v>38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51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21</v>
      </c>
      <c r="AH305" s="4">
        <f>VLOOKUP(A305,'SegEnds_NonXtal_Prot#'!A:AL,28,FALSE)-VLOOKUP(A305,'SegEnds_NonXtal_Prot#'!A:AL,22,FALSE)</f>
        <v>43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31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400</v>
      </c>
      <c r="B306" s="4" t="str">
        <f>VLOOKUP(A306,Xtal_Templ!A:B,2,FALSE)</f>
        <v>calcr_human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41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40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4">
        <f>VLOOKUP($B306&amp;"__wt",'SegEnds_Xtal_BW#'!$A:$Z,22,FALSE)</f>
        <v>53</v>
      </c>
      <c r="W306" s="115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1" t="s">
        <v>401</v>
      </c>
      <c r="B307" s="1" t="str">
        <f>VLOOKUP(A307,Xtal_Templ!A:B,2,FALSE)</f>
        <v>calrl_human</v>
      </c>
      <c r="C307" s="5">
        <f>VLOOKUP($B307&amp;"__wt",'SegEnds_Xtal_BW#'!$A:$Z,3,FALSE)</f>
        <v>24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15">
        <v>64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08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7">
        <f>VLOOKUP($B307&amp;"__wt",'SegEnds_Xtal_BW#'!$A:$Z,15,FALSE)</f>
        <v>41</v>
      </c>
      <c r="P307" s="1">
        <f>VLOOKUP($B307&amp;"__wt",'SegEnds_Xtal_BW#'!$A:$Z,16,FALSE)</f>
        <v>67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f>VLOOKUP($B307&amp;"__wt",'SegEnds_Xtal_BW#'!$A:$Z,19,FALSE)</f>
        <v>39</v>
      </c>
      <c r="T307" s="1">
        <f>VLOOKUP($B307&amp;"__wt",'SegEnds_Xtal_BW#'!$A:$Z,20,FALSE)</f>
        <v>70</v>
      </c>
      <c r="U307" s="1">
        <f>VLOOKUP($B307&amp;"__wt",'SegEnds_Xtal_BW#'!$A:$Z,21,FALSE)</f>
        <v>30</v>
      </c>
      <c r="V307" s="1">
        <f>VLOOKUP($B307&amp;"__wt",'SegEnds_Xtal_BW#'!$A:$Z,22,FALSE)</f>
        <v>53</v>
      </c>
      <c r="W307" s="108">
        <v>28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1">
        <f>VLOOKUP(A307,'SegEnds_NonXtal_Prot#'!A:AL,10,FALSE)-VLOOKUP(A307,'SegEnds_NonXtal_Prot#'!A:AL,7,FALSE)</f>
        <v>15</v>
      </c>
      <c r="AD307" s="1" t="e">
        <f>VLOOKUP(A307,'SegEnds_NonXtal_Prot#'!A:AL,13,FALSE)-VLOOKUP(A307,'SegEnds_NonXtal_Prot#'!A:AL,10,FALSE)</f>
        <v>#VALUE!</v>
      </c>
      <c r="AE307" s="1">
        <f>VLOOKUP(A307,'SegEnds_NonXtal_Prot#'!A:AL,16,FALSE)-VLOOKUP(A307,'SegEnds_NonXtal_Prot#'!A:AL,10,FALSE)</f>
        <v>53</v>
      </c>
      <c r="AF307" s="1" t="e">
        <f>VLOOKUP(A307,'SegEnds_NonXtal_Prot#'!A:AL,22,FALSE)-VLOOKUP(A307,'SegEnds_NonXtal_Prot#'!A:AL,19,FALSE)</f>
        <v>#VALUE!</v>
      </c>
      <c r="AG307" s="1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1">
        <f>VLOOKUP(A307,'SegEnds_NonXtal_Prot#'!A:AL,31,FALSE)-VLOOKUP(A307,'SegEnds_NonXtal_Prot#'!A:AL,28,FALSE)</f>
        <v>50</v>
      </c>
      <c r="AJ307" s="1">
        <f>VLOOKUP(A307,'SegEnds_NonXtal_Prot#'!A:AL,34,FALSE)-VLOOKUP(A307,'SegEnds_NonXtal_Prot#'!A:AL,31,FALSE)</f>
        <v>30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403</v>
      </c>
      <c r="B308" s="4" t="str">
        <f>VLOOKUP(A308,Xtal_Templ!A:B,2,FALSE)</f>
        <v>pacr_human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407</v>
      </c>
      <c r="B309" s="1" t="str">
        <f>VLOOKUP(A309,Xtal_Templ!A:B,2,FALSE)</f>
        <v>pacr_human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22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">
        <f>VLOOKUP($B309&amp;"__wt",'SegEnds_Xtal_BW#'!$A:$Z,19,FALSE)</f>
        <v>36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Xtal</v>
      </c>
    </row>
    <row r="310" spans="1:38" x14ac:dyDescent="0.2">
      <c r="A310" s="4" t="s">
        <v>410</v>
      </c>
      <c r="B310" s="4" t="str">
        <f>VLOOKUP(A310,Xtal_Templ!A:B,2,FALSE)</f>
        <v>sctr_human</v>
      </c>
      <c r="C310" s="5">
        <f>VLOOKUP($B310&amp;"__wt",'SegEnds_Xtal_BW#'!$A:$Z,3,FALSE)</f>
        <v>24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22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36</v>
      </c>
      <c r="T310" s="115">
        <v>71</v>
      </c>
      <c r="U310" s="4">
        <v>25</v>
      </c>
      <c r="V310" s="4">
        <f>VLOOKUP($B310&amp;"__wt",'SegEnds_Xtal_BW#'!$A:$Z,22,FALSE)</f>
        <v>54</v>
      </c>
      <c r="W310" s="115">
        <v>30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Xtal</v>
      </c>
    </row>
    <row r="311" spans="1:38" x14ac:dyDescent="0.2">
      <c r="A311" s="4" t="s">
        <v>411</v>
      </c>
      <c r="B311" s="4" t="str">
        <f>VLOOKUP(A311,Xtal_Templ!A:B,2,FALSE)</f>
        <v>sctr_human</v>
      </c>
      <c r="C311" s="5">
        <f>VLOOKUP($B311&amp;"__wt",'SegEnds_Xtal_BW#'!$A:$Z,3,FALSE)</f>
        <v>24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36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412</v>
      </c>
      <c r="B312" s="4" t="str">
        <f>VLOOKUP(A312,Xtal_Templ!A:B,2,FALSE)</f>
        <v>pacr_human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36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x14ac:dyDescent="0.2">
      <c r="A313" s="4" t="s">
        <v>404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40</v>
      </c>
      <c r="T313" s="4">
        <f>VLOOKUP($B313&amp;"__wt",'SegEnds_Xtal_BW#'!$A:$Z,20,FALSE)</f>
        <v>71</v>
      </c>
      <c r="U313" s="115">
        <v>28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61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x14ac:dyDescent="0.2">
      <c r="A314" s="4" t="s">
        <v>1416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5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4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" t="str">
        <f>IF(ISERROR(MATCH(A314,'SegEnds_Xtal_Prot#'!B:B, 0)), "NoXtal", "Xtal")</f>
        <v>Xtal</v>
      </c>
    </row>
    <row r="315" spans="1:38" x14ac:dyDescent="0.2">
      <c r="A315" s="1" t="s">
        <v>405</v>
      </c>
      <c r="B315" s="1" t="str">
        <f>VLOOKUP(A315,Xtal_Templ!A:B,2,FALSE)</f>
        <v>glp1r_human</v>
      </c>
      <c r="C315" s="5">
        <f>VLOOKUP($B315&amp;"__wt",'SegEnds_Xtal_BW#'!$A:$Z,3,FALSE)</f>
        <v>29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08">
        <v>64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08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f>VLOOKUP($B315&amp;"__wt",'SegEnds_Xtal_BW#'!$A:$Z,19,FALSE)</f>
        <v>36</v>
      </c>
      <c r="T315" s="1">
        <f>VLOOKUP($B315&amp;"__wt",'SegEnds_Xtal_BW#'!$A:$Z,20,FALSE)</f>
        <v>71</v>
      </c>
      <c r="U315" s="1">
        <f>VLOOKUP($B315&amp;"__wt",'SegEnds_Xtal_BW#'!$A:$Z,21,FALSE)</f>
        <v>28</v>
      </c>
      <c r="V315" s="1">
        <f>VLOOKUP($B315&amp;"__wt",'SegEnds_Xtal_BW#'!$A:$Z,22,FALSE)</f>
        <v>53</v>
      </c>
      <c r="W315" s="1">
        <v>28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1">
        <f>VLOOKUP(A315,'SegEnds_NonXtal_Prot#'!A:AL,10,FALSE)-VLOOKUP(A315,'SegEnds_NonXtal_Prot#'!A:AL,7,FALSE)</f>
        <v>15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64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1">
        <f>VLOOKUP(A315,'SegEnds_NonXtal_Prot#'!A:AL,31,FALSE)-VLOOKUP(A315,'SegEnds_NonXtal_Prot#'!A:AL,28,FALSE)</f>
        <v>50</v>
      </c>
      <c r="AJ315" s="1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Xtal</v>
      </c>
    </row>
    <row r="316" spans="1:38" x14ac:dyDescent="0.2">
      <c r="A316" s="4" t="s">
        <v>406</v>
      </c>
      <c r="B316" s="4" t="str">
        <f>VLOOKUP(A316,Xtal_Templ!A:B,2,FALSE)</f>
        <v>glr_human</v>
      </c>
      <c r="C316" s="5">
        <f>VLOOKUP($B316&amp;"__wt",'SegEnds_Xtal_BW#'!$A:$Z,3,FALSE)</f>
        <v>25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40</v>
      </c>
      <c r="T316" s="4">
        <f>VLOOKUP($B316&amp;"__wt",'SegEnds_Xtal_BW#'!$A:$Z,20,FALSE)</f>
        <v>71</v>
      </c>
      <c r="U316" s="115">
        <v>28</v>
      </c>
      <c r="V316" s="4">
        <f>VLOOKUP($B316&amp;"__wt",'SegEnds_Xtal_BW#'!$A:$Z,22,FALSE)</f>
        <v>53</v>
      </c>
      <c r="W316" s="4">
        <v>28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50</v>
      </c>
      <c r="AJ316" s="4">
        <f>VLOOKUP(A316,'SegEnds_NonXtal_Prot#'!A:AL,34,FALSE)-VLOOKUP(A316,'SegEnds_NonXtal_Prot#'!A:AL,31,FALSE)</f>
        <v>33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4" t="s">
        <v>32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69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21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4">
        <f>VLOOKUP($B317&amp;"__wt",'SegEnds_Xtal_BW#'!$A:$Z,21,FALSE)</f>
        <v>28</v>
      </c>
      <c r="V317" s="4">
        <f>VLOOKUP($B317&amp;"__wt",'SegEnds_Xtal_BW#'!$A:$Z,22,FALSE)</f>
        <v>53</v>
      </c>
      <c r="W317" s="115">
        <v>27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65</v>
      </c>
      <c r="AF317" s="1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42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33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Xtal</v>
      </c>
    </row>
    <row r="318" spans="1:38" s="4" customFormat="1" x14ac:dyDescent="0.2">
      <c r="A318" s="4" t="s">
        <v>409</v>
      </c>
      <c r="B318" s="4" t="str">
        <f>VLOOKUP(A318,Xtal_Templ!A:B,2,FALSE)</f>
        <v>pth1r_human</v>
      </c>
      <c r="C318" s="4">
        <f>VLOOKUP($B318&amp;"__wt",'SegEnds_Xtal_BW#'!$A:$Z,3,FALSE)</f>
        <v>21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5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5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37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37</v>
      </c>
      <c r="T318" s="4">
        <v>69</v>
      </c>
      <c r="U318" s="4">
        <v>25</v>
      </c>
      <c r="V318" s="4">
        <f>VLOOKUP($B318&amp;"__wt",'SegEnds_Xtal_BW#'!$A:$Z,22,FALSE)</f>
        <v>54</v>
      </c>
      <c r="W318" s="4">
        <v>28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50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74</v>
      </c>
      <c r="AF318" s="4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4">
        <f>VLOOKUP(A318,'SegEnds_NonXtal_Prot#'!A:AL,28,FALSE)-VLOOKUP(A318,'SegEnds_NonXtal_Prot#'!A:AL,22,FALSE)</f>
        <v>41</v>
      </c>
      <c r="AI318" s="4">
        <f>VLOOKUP(A318,'SegEnds_NonXtal_Prot#'!A:AL,31,FALSE)-VLOOKUP(A318,'SegEnds_NonXtal_Prot#'!A:AL,28,FALSE)</f>
        <v>53</v>
      </c>
      <c r="AJ318" s="4">
        <f>VLOOKUP(A318,'SegEnds_NonXtal_Prot#'!A:AL,34,FALSE)-VLOOKUP(A318,'SegEnds_NonXtal_Prot#'!A:AL,31,FALSE)</f>
        <v>32</v>
      </c>
      <c r="AK318" s="1">
        <f>VLOOKUP(A318,'SegEnds_NonXtal_Prot#'!A:AL,37,FALSE)-VLOOKUP(A318,'SegEnds_NonXtal_Prot#'!A:AL,34,FALSE)</f>
        <v>10</v>
      </c>
      <c r="AL318" s="4" t="str">
        <f>IF(ISERROR(MATCH(A318,'SegEnds_Xtal_Prot#'!B:B, 0)), "NoXtal", "Xtal")</f>
        <v>NoXtal</v>
      </c>
    </row>
    <row r="319" spans="1:38" s="45" customFormat="1" x14ac:dyDescent="0.2">
      <c r="A319" s="45" t="s">
        <v>408</v>
      </c>
      <c r="B319" s="45" t="str">
        <f>VLOOKUP(A319,Xtal_Templ!A:B,2,FALSE)</f>
        <v>pth1r_human</v>
      </c>
      <c r="C319" s="46">
        <f>VLOOKUP($B319&amp;"__wt",'SegEnds_Xtal_BW#'!$A:$Z,3,FALSE)</f>
        <v>21</v>
      </c>
      <c r="D319" s="45">
        <f>VLOOKUP($B319&amp;"__wt",'SegEnds_Xtal_BW#'!$A:$Z,4,FALSE)</f>
        <v>60</v>
      </c>
      <c r="E319" s="45">
        <f>VLOOKUP($B319&amp;"__wt",'SegEnds_Xtal_BW#'!$A:$Z,5,FALSE)</f>
        <v>48</v>
      </c>
      <c r="F319" s="45">
        <f>VLOOKUP($B319&amp;"__wt",'SegEnds_Xtal_BW#'!$A:$Z,6,FALSE)</f>
        <v>51</v>
      </c>
      <c r="G319" s="45">
        <v>37</v>
      </c>
      <c r="H319" s="134">
        <v>69</v>
      </c>
      <c r="I319" s="45" t="str">
        <f>VLOOKUP($B319&amp;"__wt",'SegEnds_Xtal_BW#'!$A:$Z,9,FALSE)</f>
        <v>-</v>
      </c>
      <c r="J319" s="45" t="str">
        <f>VLOOKUP($B319&amp;"__wt",'SegEnds_Xtal_BW#'!$A:$Z,10,FALSE)</f>
        <v>-</v>
      </c>
      <c r="K319" s="115">
        <v>21</v>
      </c>
      <c r="L319" s="45">
        <f>VLOOKUP($B319&amp;"__wt",'SegEnds_Xtal_BW#'!$A:$Z,12,FALSE)</f>
        <v>56</v>
      </c>
      <c r="M319" s="45" t="str">
        <f>VLOOKUP($B319&amp;"__wt",'SegEnds_Xtal_BW#'!$A:$Z,13,FALSE)</f>
        <v>-</v>
      </c>
      <c r="N319" s="102" t="str">
        <f>VLOOKUP($B319&amp;"__wt",'SegEnds_Xtal_BW#'!$A:$Z,14,FALSE)</f>
        <v>-</v>
      </c>
      <c r="O319" s="90">
        <f>VLOOKUP($B319&amp;"__wt",'SegEnds_Xtal_BW#'!$A:$Z,15,FALSE)</f>
        <v>37</v>
      </c>
      <c r="P319" s="45">
        <f>VLOOKUP($B319&amp;"__wt",'SegEnds_Xtal_BW#'!$A:$Z,16,FALSE)</f>
        <v>68</v>
      </c>
      <c r="Q319" s="45">
        <f>VLOOKUP($B319&amp;"__wt",'SegEnds_Xtal_BW#'!$A:$Z,17,FALSE)</f>
        <v>50</v>
      </c>
      <c r="R319" s="45">
        <f>VLOOKUP($B319&amp;"__wt",'SegEnds_Xtal_BW#'!$A:$Z,18,FALSE)</f>
        <v>52</v>
      </c>
      <c r="S319" s="1">
        <f>VLOOKUP($B319&amp;"__wt",'SegEnds_Xtal_BW#'!$A:$Z,19,FALSE)</f>
        <v>37</v>
      </c>
      <c r="T319" s="45">
        <v>69</v>
      </c>
      <c r="U319" s="45">
        <v>25</v>
      </c>
      <c r="V319" s="45">
        <f>VLOOKUP($B319&amp;"__wt",'SegEnds_Xtal_BW#'!$A:$Z,22,FALSE)</f>
        <v>54</v>
      </c>
      <c r="W319" s="45">
        <v>28</v>
      </c>
      <c r="X319" s="45">
        <f>VLOOKUP($B319&amp;"__wt",'SegEnds_Xtal_BW#'!$A:$Z,24,FALSE)</f>
        <v>56</v>
      </c>
      <c r="Y319" s="45">
        <f>VLOOKUP($B319&amp;"__wt",'SegEnds_Xtal_BW#'!$A:$Z,25,FALSE)</f>
        <v>47</v>
      </c>
      <c r="Z319" s="45">
        <f>VLOOKUP($B319&amp;"__wt",'SegEnds_Xtal_BW#'!$A:$Z,26,FALSE)</f>
        <v>72</v>
      </c>
      <c r="AA319" s="47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5">
        <f>VLOOKUP(A319,'SegEnds_NonXtal_Prot#'!A:AL,10,FALSE)-VLOOKUP(A319,'SegEnds_NonXtal_Prot#'!A:AL,7,FALSE)</f>
        <v>15</v>
      </c>
      <c r="AD319" s="45" t="e">
        <f>VLOOKUP(A319,'SegEnds_NonXtal_Prot#'!A:AL,13,FALSE)-VLOOKUP(A319,'SegEnds_NonXtal_Prot#'!A:AL,10,FALSE)</f>
        <v>#VALUE!</v>
      </c>
      <c r="AE319" s="45">
        <f>VLOOKUP(A319,'SegEnds_NonXtal_Prot#'!A:AL,16,FALSE)-VLOOKUP(A319,'SegEnds_NonXtal_Prot#'!A:AL,10,FALSE)</f>
        <v>76</v>
      </c>
      <c r="AF319" s="45" t="e">
        <f>VLOOKUP(A319,'SegEnds_NonXtal_Prot#'!A:AL,22,FALSE)-VLOOKUP(A319,'SegEnds_NonXtal_Prot#'!A:AL,19,FALSE)</f>
        <v>#VALUE!</v>
      </c>
      <c r="AG319" s="45">
        <f>VLOOKUP(A319,'SegEnds_NonXtal_Prot#'!A:AL,28,FALSE)-VLOOKUP(A319,'SegEnds_NonXtal_Prot#'!A:AL,25,FALSE)</f>
        <v>19</v>
      </c>
      <c r="AH319" s="45">
        <f>VLOOKUP(A319,'SegEnds_NonXtal_Prot#'!A:AL,28,FALSE)-VLOOKUP(A319,'SegEnds_NonXtal_Prot#'!A:AL,22,FALSE)</f>
        <v>41</v>
      </c>
      <c r="AI319" s="45">
        <f>VLOOKUP(A319,'SegEnds_NonXtal_Prot#'!A:AL,31,FALSE)-VLOOKUP(A319,'SegEnds_NonXtal_Prot#'!A:AL,28,FALSE)</f>
        <v>53</v>
      </c>
      <c r="AJ319" s="45">
        <f>VLOOKUP(A319,'SegEnds_NonXtal_Prot#'!A:AL,34,FALSE)-VLOOKUP(A319,'SegEnds_NonXtal_Prot#'!A:AL,31,FALSE)</f>
        <v>33</v>
      </c>
      <c r="AK319" s="1">
        <f>VLOOKUP(A319,'SegEnds_NonXtal_Prot#'!A:AL,37,FALSE)-VLOOKUP(A319,'SegEnds_NonXtal_Prot#'!A:AL,34,FALSE)</f>
        <v>10</v>
      </c>
      <c r="AL319" s="45" t="str">
        <f>IF(ISERROR(MATCH(A319,'SegEnds_Xtal_Prot#'!B:B, 0)), "NoXtal", "Xtal")</f>
        <v>Xtal</v>
      </c>
    </row>
    <row r="320" spans="1:38" x14ac:dyDescent="0.2">
      <c r="A320" s="1" t="s">
        <v>1693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29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44</v>
      </c>
      <c r="AI320" s="1">
        <f>VLOOKUP(A320,'SegEnds_NonXtal_Prot#'!A:AL,31,FALSE)-VLOOKUP(A320,'SegEnds_NonXtal_Prot#'!A:AL,28,FALSE)</f>
        <v>50</v>
      </c>
      <c r="AJ320" s="1">
        <f>VLOOKUP(A320,'SegEnds_NonXtal_Prot#'!A:AL,34,FALSE)-VLOOKUP(A320,'SegEnds_NonXtal_Prot#'!A:AL,31,FALSE)</f>
        <v>29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1175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44</v>
      </c>
      <c r="AI321" s="1">
        <f>VLOOKUP(A321,'SegEnds_NonXtal_Prot#'!A:AL,31,FALSE)-VLOOKUP(A321,'SegEnds_NonXtal_Prot#'!A:AL,28,FALSE)</f>
        <v>83</v>
      </c>
      <c r="AJ321" s="1">
        <f>VLOOKUP(A321,'SegEnds_NonXtal_Prot#'!A:AL,34,FALSE)-VLOOKUP(A321,'SegEnds_NonXtal_Prot#'!A:AL,31,FALSE)</f>
        <v>29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1176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83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1177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>
        <f>VLOOKUP(A323,'SegEnds_NonXtal_Prot#'!A:AL,10,FALSE)-VLOOKUP(A323,'SegEnds_NonXtal_Prot#'!A:AL,7,FALSE)</f>
        <v>18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1178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v>50</v>
      </c>
      <c r="W324" s="1">
        <v>33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66</v>
      </c>
      <c r="AJ324" s="1">
        <f>VLOOKUP(A324,'SegEnds_NonXtal_Prot#'!A:AL,34,FALSE)-VLOOKUP(A324,'SegEnds_NonXtal_Prot#'!A:AL,31,FALSE)</f>
        <v>20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4" t="s">
        <v>1179</v>
      </c>
      <c r="B325" s="4" t="str">
        <f>VLOOKUP(A325,Xtal_Templ!A:B,2,FALSE)</f>
        <v>pth1r_human</v>
      </c>
      <c r="C325" s="5">
        <v>23</v>
      </c>
      <c r="D325" s="4">
        <f>VLOOKUP($B325&amp;"__wt",'SegEnds_Xtal_BW#'!$A:$Z,4,FALSE)</f>
        <v>60</v>
      </c>
      <c r="E325" s="4">
        <f>VLOOKUP($B325&amp;"__wt",'SegEnds_Xtal_BW#'!$A:$Z,5,FALSE)</f>
        <v>48</v>
      </c>
      <c r="F325" s="4">
        <f>VLOOKUP($B325&amp;"__wt",'SegEnds_Xtal_BW#'!$A:$Z,6,FALSE)</f>
        <v>51</v>
      </c>
      <c r="G325" s="4">
        <v>37</v>
      </c>
      <c r="H325" s="11">
        <v>63</v>
      </c>
      <c r="I325" s="4" t="str">
        <f>VLOOKUP($B325&amp;"__wt",'SegEnds_Xtal_BW#'!$A:$Z,9,FALSE)</f>
        <v>-</v>
      </c>
      <c r="J325" s="4" t="str">
        <f>VLOOKUP($B325&amp;"__wt",'SegEnds_Xtal_BW#'!$A:$Z,10,FALSE)</f>
        <v>-</v>
      </c>
      <c r="K325" s="11">
        <v>23</v>
      </c>
      <c r="L325" s="4">
        <f>VLOOKUP($B325&amp;"__wt",'SegEnds_Xtal_BW#'!$A:$Z,12,FALSE)</f>
        <v>56</v>
      </c>
      <c r="M325" s="4" t="str">
        <f>VLOOKUP($B325&amp;"__wt",'SegEnds_Xtal_BW#'!$A:$Z,13,FALSE)</f>
        <v>-</v>
      </c>
      <c r="N325" s="11" t="str">
        <f>VLOOKUP($B325&amp;"__wt",'SegEnds_Xtal_BW#'!$A:$Z,14,FALSE)</f>
        <v>-</v>
      </c>
      <c r="O325" s="88">
        <f>VLOOKUP($B325&amp;"__wt",'SegEnds_Xtal_BW#'!$A:$Z,15,FALSE)</f>
        <v>37</v>
      </c>
      <c r="P325" s="4">
        <f>VLOOKUP($B325&amp;"__wt",'SegEnds_Xtal_BW#'!$A:$Z,16,FALSE)</f>
        <v>68</v>
      </c>
      <c r="Q325" s="4">
        <f>VLOOKUP($B325&amp;"__wt",'SegEnds_Xtal_BW#'!$A:$Z,17,FALSE)</f>
        <v>50</v>
      </c>
      <c r="R325" s="4">
        <f>VLOOKUP($B325&amp;"__wt",'SegEnds_Xtal_BW#'!$A:$Z,18,FALSE)</f>
        <v>52</v>
      </c>
      <c r="S325" s="4">
        <v>36</v>
      </c>
      <c r="T325" s="4">
        <v>69</v>
      </c>
      <c r="U325" s="4">
        <v>29</v>
      </c>
      <c r="V325" s="4">
        <f>VLOOKUP($B325&amp;"__wt",'SegEnds_Xtal_BW#'!$A:$Z,22,FALSE)</f>
        <v>54</v>
      </c>
      <c r="W325" s="4">
        <v>31</v>
      </c>
      <c r="X325" s="4">
        <f>VLOOKUP($B325&amp;"__wt",'SegEnds_Xtal_BW#'!$A:$Z,24,FALSE)</f>
        <v>56</v>
      </c>
      <c r="Y325" s="4">
        <f>VLOOKUP($B325&amp;"__wt",'SegEnds_Xtal_BW#'!$A:$Z,25,FALSE)</f>
        <v>47</v>
      </c>
      <c r="Z325" s="4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4" t="e">
        <f>VLOOKUP(A325,'SegEnds_NonXtal_Prot#'!A:AL,10,FALSE)-VLOOKUP(A325,'SegEnds_NonXtal_Prot#'!A:AL,7,FALSE)</f>
        <v>#VALUE!</v>
      </c>
      <c r="AD325" s="4" t="e">
        <f>VLOOKUP(A325,'SegEnds_NonXtal_Prot#'!A:AL,13,FALSE)-VLOOKUP(A325,'SegEnds_NonXtal_Prot#'!A:AL,10,FALSE)</f>
        <v>#VALUE!</v>
      </c>
      <c r="AE325" s="4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4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4">
        <f>VLOOKUP(A325,'SegEnds_NonXtal_Prot#'!A:AL,31,FALSE)-VLOOKUP(A325,'SegEnds_NonXtal_Prot#'!A:AL,28,FALSE)</f>
        <v>52</v>
      </c>
      <c r="AJ325" s="4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1180</v>
      </c>
      <c r="B326" s="1" t="str">
        <f>VLOOKUP(A326,Xtal_Templ!A:B,2,FALSE)</f>
        <v>glp1r_human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38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1181</v>
      </c>
      <c r="B327" s="1" t="str">
        <f>VLOOKUP(A327,Xtal_Templ!A:B,2,FALSE)</f>
        <v>sctr_human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54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1182</v>
      </c>
      <c r="B328" s="1" t="str">
        <f>VLOOKUP(A328,Xtal_Templ!A:B,2,FALSE)</f>
        <v>sctr_human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54</v>
      </c>
      <c r="W328" s="1">
        <v>28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42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32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1194</v>
      </c>
      <c r="B329" s="1" t="str">
        <f>VLOOKUP(A329,Xtal_Templ!A:B,2,FALSE)</f>
        <v>sctr_human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54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1195</v>
      </c>
      <c r="B330" s="1" t="str">
        <f>VLOOKUP(A330,Xtal_Templ!A:B,2,FALSE)</f>
        <v>sctr_human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54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1196</v>
      </c>
      <c r="B331" s="1" t="str">
        <f>VLOOKUP(A331,Xtal_Templ!A:B,2,FALSE)</f>
        <v>crfr2_human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1197</v>
      </c>
      <c r="B332" s="1" t="str">
        <f>VLOOKUP(A332,Xtal_Templ!A:B,2,FALSE)</f>
        <v>sctr_human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sctr_human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54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48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416</v>
      </c>
      <c r="B334" s="4" t="str">
        <f>VLOOKUP(A334,Xtal_Templ!A:B,2,FALSE)</f>
        <v>calrl_human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41</v>
      </c>
      <c r="P334" s="4">
        <f>VLOOKUP($B334&amp;"__wt",'SegEnds_Xtal_BW#'!$A:$Z,16,FALSE)</f>
        <v>67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4">
        <f>VLOOKUP(A334,'SegEnds_NonXtal_Prot#'!A:AL,10,FALSE)-VLOOKUP(A334,'SegEnds_NonXtal_Prot#'!A:AL,7,FALSE)</f>
        <v>15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4">
        <f>VLOOKUP(A334,'SegEnds_NonXtal_Prot#'!A:AL,31,FALSE)-VLOOKUP(A334,'SegEnds_NonXtal_Prot#'!A:AL,28,FALSE)</f>
        <v>48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417</v>
      </c>
      <c r="B335" s="1" t="str">
        <f>VLOOKUP(A335,Xtal_Templ!A:B,2,FALSE)</f>
        <v>crfr2_human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47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1172</v>
      </c>
      <c r="B336" s="1" t="str">
        <f>VLOOKUP(A336,Xtal_Templ!A:B,2,FALSE)</f>
        <v>pacr_human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54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46</v>
      </c>
      <c r="AI336" s="1">
        <f>VLOOKUP(A336,'SegEnds_NonXtal_Prot#'!A:AL,31,FALSE)-VLOOKUP(A336,'SegEnds_NonXtal_Prot#'!A:AL,28,FALSE)</f>
        <v>86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4" t="s">
        <v>1173</v>
      </c>
      <c r="B337" s="4" t="str">
        <f>VLOOKUP(A337,Xtal_Templ!A:B,2,FALSE)</f>
        <v>crfr1_human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88">
        <f>VLOOKUP($B337&amp;"__wt",'SegEnds_Xtal_BW#'!$A:$Z,15,FALSE)</f>
        <v>40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29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4" t="e">
        <f>VLOOKUP(A337,'SegEnds_NonXtal_Prot#'!A:AL,10,FALSE)-VLOOKUP(A337,'SegEnds_NonXtal_Prot#'!A:AL,7,FALSE)</f>
        <v>#VALUE!</v>
      </c>
      <c r="AD337" s="4" t="e">
        <f>VLOOKUP(A337,'SegEnds_NonXtal_Prot#'!A:AL,13,FALSE)-VLOOKUP(A337,'SegEnds_NonXtal_Prot#'!A:AL,10,FALSE)</f>
        <v>#VALUE!</v>
      </c>
      <c r="AE337" s="4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4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43</v>
      </c>
      <c r="AI337" s="4">
        <f>VLOOKUP(A337,'SegEnds_NonXtal_Prot#'!A:AL,31,FALSE)-VLOOKUP(A337,'SegEnds_NonXtal_Prot#'!A:AL,28,FALSE)</f>
        <v>100</v>
      </c>
      <c r="AJ337" s="4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1174</v>
      </c>
      <c r="B338" s="1" t="str">
        <f>VLOOKUP(A338,Xtal_Templ!A:B,2,FALSE)</f>
        <v>sctr_human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54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26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18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85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1694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4" t="s">
        <v>1188</v>
      </c>
      <c r="B340" s="4" t="str">
        <f>VLOOKUP(A340,Xtal_Templ!A:B,2,FALSE)</f>
        <v>glr_human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88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115">
        <v>28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35</v>
      </c>
      <c r="AC340" s="4">
        <f>VLOOKUP(A340,'SegEnds_NonXtal_Prot#'!A:AL,10,FALSE)-VLOOKUP(A340,'SegEnds_NonXtal_Prot#'!A:AL,7,FALSE)</f>
        <v>21</v>
      </c>
      <c r="AD340" s="4" t="e">
        <f>VLOOKUP(A340,'SegEnds_NonXtal_Prot#'!A:AL,13,FALSE)-VLOOKUP(A340,'SegEnds_NonXtal_Prot#'!A:AL,10,FALSE)</f>
        <v>#VALUE!</v>
      </c>
      <c r="AE340" s="4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4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57</v>
      </c>
      <c r="AI340" s="4">
        <f>VLOOKUP(A340,'SegEnds_NonXtal_Prot#'!A:AL,31,FALSE)-VLOOKUP(A340,'SegEnds_NonXtal_Prot#'!A:AL,28,FALSE)</f>
        <v>44</v>
      </c>
      <c r="AJ340" s="4">
        <f>VLOOKUP(A340,'SegEnds_NonXtal_Prot#'!A:AL,34,FALSE)-VLOOKUP(A340,'SegEnds_NonXtal_Prot#'!A:AL,31,FALSE)</f>
        <v>30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4" t="s">
        <v>1189</v>
      </c>
      <c r="B341" s="4" t="str">
        <f>VLOOKUP(A341,Xtal_Templ!A:B,2,FALSE)</f>
        <v>pacr_human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88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54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4" t="e">
        <f>VLOOKUP(A341,'SegEnds_NonXtal_Prot#'!A:AL,10,FALSE)-VLOOKUP(A341,'SegEnds_NonXtal_Prot#'!A:AL,7,FALSE)</f>
        <v>#VALUE!</v>
      </c>
      <c r="AD341" s="4" t="e">
        <f>VLOOKUP(A341,'SegEnds_NonXtal_Prot#'!A:AL,13,FALSE)-VLOOKUP(A341,'SegEnds_NonXtal_Prot#'!A:AL,10,FALSE)</f>
        <v>#VALUE!</v>
      </c>
      <c r="AE341" s="4">
        <f>VLOOKUP(A341,'SegEnds_NonXtal_Prot#'!A:AL,16,FALSE)-VLOOKUP(A341,'SegEnds_NonXtal_Prot#'!A:AL,10,FALSE)</f>
        <v>47</v>
      </c>
      <c r="AF341" s="1" t="e">
        <f>VLOOKUP(A341,'SegEnds_NonXtal_Prot#'!A:AL,22,FALSE)-VLOOKUP(A341,'SegEnds_NonXtal_Prot#'!A:AL,19,FALSE)</f>
        <v>#VALUE!</v>
      </c>
      <c r="AG341" s="4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54</v>
      </c>
      <c r="AI341" s="4">
        <f>VLOOKUP(A341,'SegEnds_NonXtal_Prot#'!A:AL,31,FALSE)-VLOOKUP(A341,'SegEnds_NonXtal_Prot#'!A:AL,28,FALSE)</f>
        <v>51</v>
      </c>
      <c r="AJ341" s="4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1190</v>
      </c>
      <c r="B342" s="1" t="str">
        <f>VLOOKUP(A342,Xtal_Templ!A:B,2,FALSE)</f>
        <v>pth1r_human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37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33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18</v>
      </c>
      <c r="AH342" s="1">
        <f>VLOOKUP(A342,'SegEnds_NonXtal_Prot#'!A:AL,28,FALSE)-VLOOKUP(A342,'SegEnds_NonXtal_Prot#'!A:AL,22,FALSE)</f>
        <v>51</v>
      </c>
      <c r="AI342" s="1">
        <f>VLOOKUP(A342,'SegEnds_NonXtal_Prot#'!A:AL,31,FALSE)-VLOOKUP(A342,'SegEnds_NonXtal_Prot#'!A:AL,28,FALSE)</f>
        <v>54</v>
      </c>
      <c r="AJ342" s="1">
        <f>VLOOKUP(A342,'SegEnds_NonXtal_Prot#'!A:AL,34,FALSE)-VLOOKUP(A342,'SegEnds_NonXtal_Prot#'!A:AL,31,FALSE)</f>
        <v>26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1191</v>
      </c>
      <c r="B343" s="4" t="str">
        <f>VLOOKUP(A343,Xtal_Templ!A:B,2,FALSE)</f>
        <v>pth1r_human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37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54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4" t="e">
        <f>VLOOKUP(A343,'SegEnds_NonXtal_Prot#'!A:AL,10,FALSE)-VLOOKUP(A343,'SegEnds_NonXtal_Prot#'!A:AL,7,FALSE)</f>
        <v>#VALUE!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47</v>
      </c>
      <c r="AI343" s="4">
        <f>VLOOKUP(A343,'SegEnds_NonXtal_Prot#'!A:AL,31,FALSE)-VLOOKUP(A343,'SegEnds_NonXtal_Prot#'!A:AL,28,FALSE)</f>
        <v>50</v>
      </c>
      <c r="AJ343" s="4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1409</v>
      </c>
      <c r="B344" s="1" t="str">
        <f>VLOOKUP(A344,Xtal_Templ!A:B,2,FALSE)</f>
        <v>crfr2_human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>
        <f>VLOOKUP(A344,'SegEnds_NonXtal_Prot#'!A:AL,10,FALSE)-VLOOKUP(A344,'SegEnds_NonXtal_Prot#'!A:AL,7,FALSE)</f>
        <v>16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53</v>
      </c>
      <c r="AI344" s="1">
        <f>VLOOKUP(A344,'SegEnds_NonXtal_Prot#'!A:AL,31,FALSE)-VLOOKUP(A344,'SegEnds_NonXtal_Prot#'!A:AL,28,FALSE)</f>
        <v>51</v>
      </c>
      <c r="AJ344" s="1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1695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54</v>
      </c>
      <c r="AI345" s="1">
        <f>VLOOKUP(A345,'SegEnds_NonXtal_Prot#'!A:AL,31,FALSE)-VLOOKUP(A345,'SegEnds_NonXtal_Prot#'!A:AL,28,FALSE)</f>
        <v>49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1192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48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49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1185</v>
      </c>
      <c r="B347" s="1" t="str">
        <f>VLOOKUP(A347,Xtal_Templ!A:B,2,FALSE)</f>
        <v>calrl_human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41</v>
      </c>
      <c r="P347" s="1">
        <f>VLOOKUP($B347&amp;"__wt",'SegEnds_Xtal_BW#'!$A:$Z,16,FALSE)</f>
        <v>67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50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45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29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1183</v>
      </c>
      <c r="B348" s="1" t="str">
        <f>VLOOKUP(A348,Xtal_Templ!A:B,2,FALSE)</f>
        <v>pth1r_human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37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54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31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51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21</v>
      </c>
      <c r="AH348" s="1">
        <f>VLOOKUP(A348,'SegEnds_NonXtal_Prot#'!A:AL,28,FALSE)-VLOOKUP(A348,'SegEnds_NonXtal_Prot#'!A:AL,22,FALSE)</f>
        <v>47</v>
      </c>
      <c r="AI348" s="1">
        <f>VLOOKUP(A348,'SegEnds_NonXtal_Prot#'!A:AL,31,FALSE)-VLOOKUP(A348,'SegEnds_NonXtal_Prot#'!A:AL,28,FALSE)</f>
        <v>52</v>
      </c>
      <c r="AJ348" s="1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1" t="s">
        <v>1184</v>
      </c>
      <c r="B349" s="1" t="str">
        <f>VLOOKUP(A349,Xtal_Templ!A:B,2,FALSE)</f>
        <v>calrl_human</v>
      </c>
      <c r="C349" s="5">
        <v>23</v>
      </c>
      <c r="D349" s="1">
        <f>VLOOKUP($B349&amp;"__wt",'SegEnds_Xtal_BW#'!$A:$Z,4,FALSE)</f>
        <v>60</v>
      </c>
      <c r="E349" s="1">
        <f>VLOOKUP($B349&amp;"__wt",'SegEnds_Xtal_BW#'!$A:$Z,5,FALSE)</f>
        <v>48</v>
      </c>
      <c r="F349" s="1">
        <f>VLOOKUP($B349&amp;"__wt",'SegEnds_Xtal_BW#'!$A:$Z,6,FALSE)</f>
        <v>51</v>
      </c>
      <c r="G349" s="1">
        <v>37</v>
      </c>
      <c r="H349" s="12">
        <v>63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v>23</v>
      </c>
      <c r="L349" s="1">
        <f>VLOOKUP($B349&amp;"__wt",'SegEnds_Xtal_BW#'!$A:$Z,12,FALSE)</f>
        <v>56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41</v>
      </c>
      <c r="P349" s="1">
        <f>VLOOKUP($B349&amp;"__wt",'SegEnds_Xtal_BW#'!$A:$Z,16,FALSE)</f>
        <v>67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v>36</v>
      </c>
      <c r="T349" s="1">
        <v>69</v>
      </c>
      <c r="U349" s="1">
        <v>29</v>
      </c>
      <c r="V349" s="108">
        <v>50</v>
      </c>
      <c r="W349" s="1">
        <v>31</v>
      </c>
      <c r="X349" s="1">
        <f>VLOOKUP($B349&amp;"__wt",'SegEnds_Xtal_BW#'!$A:$Z,24,FALSE)</f>
        <v>56</v>
      </c>
      <c r="Y349" s="1">
        <f>VLOOKUP($B349&amp;"__wt",'SegEnds_Xtal_BW#'!$A:$Z,25,FALSE)</f>
        <v>47</v>
      </c>
      <c r="Z349" s="1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31</v>
      </c>
      <c r="AC349" s="1" t="e">
        <f>VLOOKUP(A349,'SegEnds_NonXtal_Prot#'!A:AL,10,FALSE)-VLOOKUP(A349,'SegEnds_NonXtal_Prot#'!A:AL,7,FALSE)</f>
        <v>#VALUE!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20</v>
      </c>
      <c r="AH349" s="1">
        <f>VLOOKUP(A349,'SegEnds_NonXtal_Prot#'!A:AL,28,FALSE)-VLOOKUP(A349,'SegEnds_NonXtal_Prot#'!A:AL,22,FALSE)</f>
        <v>46</v>
      </c>
      <c r="AI349" s="1">
        <f>VLOOKUP(A349,'SegEnds_NonXtal_Prot#'!A:AL,31,FALSE)-VLOOKUP(A349,'SegEnds_NonXtal_Prot#'!A:AL,28,FALSE)</f>
        <v>57</v>
      </c>
      <c r="AJ349" s="1">
        <f>VLOOKUP(A349,'SegEnds_NonXtal_Prot#'!A:AL,34,FALSE)-VLOOKUP(A349,'SegEnds_NonXtal_Prot#'!A:AL,31,FALSE)</f>
        <v>23</v>
      </c>
      <c r="AK349" s="1" t="e">
        <f>VLOOKUP(A349,'SegEnds_NonXtal_Prot#'!A:AL,37,FALSE)-VLOOKUP(A349,'SegEnds_NonXtal_Prot#'!A:AL,34,FALSE)</f>
        <v>#VALUE!</v>
      </c>
      <c r="AL349" s="1" t="str">
        <f>IF(ISERROR(MATCH(A349,'SegEnds_Xtal_Prot#'!B:B, 0)), "NoXtal", "Xtal")</f>
        <v>NoXtal</v>
      </c>
    </row>
    <row r="350" spans="1:38" x14ac:dyDescent="0.2">
      <c r="A350" s="1" t="s">
        <v>1186</v>
      </c>
      <c r="B350" s="1" t="str">
        <f>VLOOKUP(A350,Xtal_Templ!A:B,2,FALSE)</f>
        <v>crfr1_human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53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31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20</v>
      </c>
      <c r="AH350" s="1">
        <f>VLOOKUP(A350,'SegEnds_NonXtal_Prot#'!A:AL,28,FALSE)-VLOOKUP(A350,'SegEnds_NonXtal_Prot#'!A:AL,22,FALSE)</f>
        <v>46</v>
      </c>
      <c r="AI350" s="1">
        <f>VLOOKUP(A350,'SegEnds_NonXtal_Prot#'!A:AL,31,FALSE)-VLOOKUP(A350,'SegEnds_NonXtal_Prot#'!A:AL,28,FALSE)</f>
        <v>51</v>
      </c>
      <c r="AJ350" s="1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1187</v>
      </c>
      <c r="B351" s="1" t="str">
        <f>VLOOKUP(A351,Xtal_Templ!A:B,2,FALSE)</f>
        <v>crfr1_human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63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23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40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53</v>
      </c>
      <c r="W351" s="1">
        <v>31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17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20</v>
      </c>
      <c r="AH351" s="1">
        <f>VLOOKUP(A351,'SegEnds_NonXtal_Prot#'!A:AL,28,FALSE)-VLOOKUP(A351,'SegEnds_NonXtal_Prot#'!A:AL,22,FALSE)</f>
        <v>46</v>
      </c>
      <c r="AI351" s="1">
        <f>VLOOKUP(A351,'SegEnds_NonXtal_Prot#'!A:AL,31,FALSE)-VLOOKUP(A351,'SegEnds_NonXtal_Prot#'!A:AL,28,FALSE)</f>
        <v>52</v>
      </c>
      <c r="AJ351" s="1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x14ac:dyDescent="0.2">
      <c r="A352" s="1" t="s">
        <v>1193</v>
      </c>
      <c r="B352" s="1" t="str">
        <f>VLOOKUP(A352,Xtal_Templ!A:B,2,FALSE)</f>
        <v>pth1r_human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65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18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37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54</v>
      </c>
      <c r="W352" s="1">
        <v>29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29</v>
      </c>
      <c r="AC352" s="1" t="e">
        <f>VLOOKUP(A352,'SegEnds_NonXtal_Prot#'!A:AL,10,FALSE)-VLOOKUP(A352,'SegEnds_NonXtal_Prot#'!A:AL,7,FALSE)</f>
        <v>#VALUE!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73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26</v>
      </c>
      <c r="AH352" s="1">
        <f>VLOOKUP(A352,'SegEnds_NonXtal_Prot#'!A:AL,28,FALSE)-VLOOKUP(A352,'SegEnds_NonXtal_Prot#'!A:AL,22,FALSE)</f>
        <v>60</v>
      </c>
      <c r="AI352" s="1">
        <f>VLOOKUP(A352,'SegEnds_NonXtal_Prot#'!A:AL,31,FALSE)-VLOOKUP(A352,'SegEnds_NonXtal_Prot#'!A:AL,28,FALSE)</f>
        <v>51</v>
      </c>
      <c r="AJ352" s="1">
        <f>VLOOKUP(A352,'SegEnds_NonXtal_Prot#'!A:AL,34,FALSE)-VLOOKUP(A352,'SegEnds_NonXtal_Prot#'!A:AL,31,FALSE)</f>
        <v>31</v>
      </c>
      <c r="AK352" s="1">
        <f>VLOOKUP(A352,'SegEnds_NonXtal_Prot#'!A:AL,37,FALSE)-VLOOKUP(A352,'SegEnds_NonXtal_Prot#'!A:AL,34,FALSE)</f>
        <v>10</v>
      </c>
      <c r="AL352" s="1" t="str">
        <f>IF(ISERROR(MATCH(A352,'SegEnds_Xtal_Prot#'!B:B, 0)), "NoXtal", "Xtal")</f>
        <v>NoXtal</v>
      </c>
    </row>
    <row r="353" spans="1:38" s="42" customFormat="1" x14ac:dyDescent="0.2">
      <c r="A353" s="42" t="s">
        <v>105</v>
      </c>
      <c r="B353" s="42" t="str">
        <f>VLOOKUP(A353,Xtal_Templ!A:B,2,FALSE)</f>
        <v>grm5_human</v>
      </c>
      <c r="C353" s="43">
        <f>VLOOKUP($B353&amp;"__wt",'SegEnds_Xtal_BW#'!$A:$Z,3,FALSE)</f>
        <v>34</v>
      </c>
      <c r="D353" s="42">
        <f>VLOOKUP($B353&amp;"__wt",'SegEnds_Xtal_BW#'!$A:$Z,4,FALSE)</f>
        <v>60</v>
      </c>
      <c r="E353" s="42">
        <f>VLOOKUP($B353&amp;"__wt",'SegEnds_Xtal_BW#'!$A:$Z,5,FALSE)</f>
        <v>47</v>
      </c>
      <c r="F353" s="42">
        <f>VLOOKUP($B353&amp;"__wt",'SegEnds_Xtal_BW#'!$A:$Z,6,FALSE)</f>
        <v>53</v>
      </c>
      <c r="G353" s="42">
        <v>39</v>
      </c>
      <c r="H353" s="101">
        <f>VLOOKUP($B353&amp;"__wt",'SegEnds_Xtal_BW#'!$A:$Z,8,FALSE)</f>
        <v>61</v>
      </c>
      <c r="I353" s="42" t="str">
        <f>VLOOKUP($B353&amp;"__wt",'SegEnds_Xtal_BW#'!$A:$Z,9,FALSE)</f>
        <v>-</v>
      </c>
      <c r="J353" s="42" t="str">
        <f>VLOOKUP($B353&amp;"__wt",'SegEnds_Xtal_BW#'!$A:$Z,10,FALSE)</f>
        <v>-</v>
      </c>
      <c r="K353" s="101">
        <f>VLOOKUP($B353&amp;"__wt",'SegEnds_Xtal_BW#'!$A:$Z,11,FALSE)</f>
        <v>21</v>
      </c>
      <c r="L353" s="42">
        <f>VLOOKUP($B353&amp;"__wt",'SegEnds_Xtal_BW#'!$A:$Z,12,FALSE)</f>
        <v>54</v>
      </c>
      <c r="M353" s="42" t="str">
        <f>VLOOKUP($B353&amp;"__wt",'SegEnds_Xtal_BW#'!$A:$Z,13,FALSE)</f>
        <v>-</v>
      </c>
      <c r="N353" s="101" t="str">
        <f>VLOOKUP($B353&amp;"__wt",'SegEnds_Xtal_BW#'!$A:$Z,14,FALSE)</f>
        <v>-</v>
      </c>
      <c r="O353" s="89">
        <f>VLOOKUP($B353&amp;"__wt",'SegEnds_Xtal_BW#'!$A:$Z,15,FALSE)</f>
        <v>38</v>
      </c>
      <c r="P353" s="42">
        <f>VLOOKUP($B353&amp;"__wt",'SegEnds_Xtal_BW#'!$A:$Z,16,FALSE)</f>
        <v>64</v>
      </c>
      <c r="Q353" s="42">
        <f>VLOOKUP($B353&amp;"__wt",'SegEnds_Xtal_BW#'!$A:$Z,17,FALSE)</f>
        <v>50</v>
      </c>
      <c r="R353" s="42">
        <f>VLOOKUP($B353&amp;"__wt",'SegEnds_Xtal_BW#'!$A:$Z,18,FALSE)</f>
        <v>52</v>
      </c>
      <c r="S353" s="42">
        <f>VLOOKUP($B353&amp;"__wt",'SegEnds_Xtal_BW#'!$A:$Z,19,FALSE)</f>
        <v>36</v>
      </c>
      <c r="T353" s="42">
        <f>VLOOKUP($B353&amp;"__wt",'SegEnds_Xtal_BW#'!$A:$Z,20,FALSE)</f>
        <v>61</v>
      </c>
      <c r="U353" s="42">
        <f>VLOOKUP($B353&amp;"__wt",'SegEnds_Xtal_BW#'!$A:$Z,21,FALSE)</f>
        <v>33</v>
      </c>
      <c r="V353" s="42">
        <f>VLOOKUP($B353&amp;"__wt",'SegEnds_Xtal_BW#'!$A:$Z,22,FALSE)</f>
        <v>57</v>
      </c>
      <c r="W353" s="42">
        <f>VLOOKUP($B353&amp;"__wt",'SegEnds_Xtal_BW#'!$A:$Z,23,FALSE)</f>
        <v>33</v>
      </c>
      <c r="X353" s="42">
        <f>VLOOKUP($B353&amp;"__wt",'SegEnds_Xtal_BW#'!$A:$Z,24,FALSE)</f>
        <v>64</v>
      </c>
      <c r="Y353" s="42">
        <f>VLOOKUP($B353&amp;"__wt",'SegEnds_Xtal_BW#'!$A:$Z,25,FALSE)</f>
        <v>46</v>
      </c>
      <c r="Z353" s="42">
        <f>VLOOKUP($B353&amp;"__wt",'SegEnds_Xtal_BW#'!$A:$Z,26,FALSE)</f>
        <v>57</v>
      </c>
      <c r="AA353" s="44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2">
        <f>VLOOKUP(A353,'SegEnds_NonXtal_Prot#'!A:AL,10,FALSE)-VLOOKUP(A353,'SegEnds_NonXtal_Prot#'!A:AL,7,FALSE)</f>
        <v>15</v>
      </c>
      <c r="AD353" s="42" t="e">
        <f>VLOOKUP(A353,'SegEnds_NonXtal_Prot#'!A:AL,13,FALSE)-VLOOKUP(A353,'SegEnds_NonXtal_Prot#'!A:AL,10,FALSE)</f>
        <v>#VALUE!</v>
      </c>
      <c r="AE353" s="42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2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51</v>
      </c>
      <c r="AI353" s="42">
        <f>VLOOKUP(A353,'SegEnds_NonXtal_Prot#'!A:AL,31,FALSE)-VLOOKUP(A353,'SegEnds_NonXtal_Prot#'!A:AL,28,FALSE)</f>
        <v>37</v>
      </c>
      <c r="AJ353" s="42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109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16</v>
      </c>
      <c r="AH354" s="1">
        <f>VLOOKUP(A354,'SegEnds_NonXtal_Prot#'!A:AL,28,FALSE)-VLOOKUP(A354,'SegEnds_NonXtal_Prot#'!A:AL,22,FALSE)</f>
        <v>65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33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110</v>
      </c>
      <c r="B355" s="1" t="str">
        <f>VLOOKUP(A355,Xtal_Templ!A:B,2,FALSE)</f>
        <v>gabr2_human</v>
      </c>
      <c r="C355" s="5">
        <f>VLOOKUP($B355&amp;"__wt",'SegEnds_Xtal_BW#'!$A:$Z,3,FALSE)</f>
        <v>32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08">
        <v>22</v>
      </c>
      <c r="L355" s="1">
        <f>VLOOKUP($B355&amp;"__wt",'SegEnds_Xtal_BW#'!$A:$Z,12,FALSE)</f>
        <v>55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35</v>
      </c>
      <c r="T355" s="1">
        <f>VLOOKUP($B355&amp;"__wt",'SegEnds_Xtal_BW#'!$A:$Z,20,FALSE)</f>
        <v>64</v>
      </c>
      <c r="U355" s="1">
        <f>VLOOKUP($B355&amp;"__wt",'SegEnds_Xtal_BW#'!$A:$Z,21,FALSE)</f>
        <v>33</v>
      </c>
      <c r="V355" s="1">
        <f>VLOOKUP($B355&amp;"__wt",'SegEnds_Xtal_BW#'!$A:$Z,22,FALSE)</f>
        <v>58</v>
      </c>
      <c r="W355" s="1">
        <f>VLOOKUP($B355&amp;"__wt",'SegEnds_Xtal_BW#'!$A:$Z,23,FALSE)</f>
        <v>30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16</v>
      </c>
      <c r="AH355" s="1">
        <f>VLOOKUP(A355,'SegEnds_NonXtal_Prot#'!A:AL,28,FALSE)-VLOOKUP(A355,'SegEnds_NonXtal_Prot#'!A:AL,22,FALSE)</f>
        <v>65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33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111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40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20</v>
      </c>
      <c r="AL356" s="1" t="str">
        <f>IF(ISERROR(MATCH(A356,'SegEnds_Xtal_Prot#'!B:B, 0)), "NoXtal", "Xtal")</f>
        <v>NoXtal</v>
      </c>
    </row>
    <row r="357" spans="1:38" x14ac:dyDescent="0.2">
      <c r="A357" s="1" t="s">
        <v>112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33</v>
      </c>
      <c r="AC357" s="1">
        <f>VLOOKUP(A357,'SegEnds_NonXtal_Prot#'!A:AL,10,FALSE)-VLOOKUP(A357,'SegEnds_NonXtal_Prot#'!A:AL,7,FALSE)</f>
        <v>19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55</v>
      </c>
      <c r="AI357" s="1">
        <f>VLOOKUP(A357,'SegEnds_NonXtal_Prot#'!A:AL,31,FALSE)-VLOOKUP(A357,'SegEnds_NonXtal_Prot#'!A:AL,28,FALSE)</f>
        <v>39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20</v>
      </c>
      <c r="AL357" s="1" t="str">
        <f>IF(ISERROR(MATCH(A357,'SegEnds_Xtal_Prot#'!B:B, 0)), "NoXtal", "Xtal")</f>
        <v>NoXtal</v>
      </c>
    </row>
    <row r="358" spans="1:38" x14ac:dyDescent="0.2">
      <c r="A358" s="4" t="s">
        <v>113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33</v>
      </c>
      <c r="AC358" s="4">
        <f>VLOOKUP(A358,'SegEnds_NonXtal_Prot#'!A:AL,10,FALSE)-VLOOKUP(A358,'SegEnds_NonXtal_Prot#'!A:AL,7,FALSE)</f>
        <v>19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16</v>
      </c>
      <c r="AH358" s="1">
        <f>VLOOKUP(A358,'SegEnds_NonXtal_Prot#'!A:AL,28,FALSE)-VLOOKUP(A358,'SegEnds_NonXtal_Prot#'!A:AL,22,FALSE)</f>
        <v>43</v>
      </c>
      <c r="AI358" s="4">
        <f>VLOOKUP(A358,'SegEnds_NonXtal_Prot#'!A:AL,31,FALSE)-VLOOKUP(A358,'SegEnds_NonXtal_Prot#'!A:AL,28,FALSE)</f>
        <v>39</v>
      </c>
      <c r="AJ358" s="4">
        <f>VLOOKUP(A358,'SegEnds_NonXtal_Prot#'!A:AL,34,FALSE)-VLOOKUP(A358,'SegEnds_NonXtal_Prot#'!A:AL,31,FALSE)</f>
        <v>35</v>
      </c>
      <c r="AK358" s="1">
        <f>VLOOKUP(A358,'SegEnds_NonXtal_Prot#'!A:AL,37,FALSE)-VLOOKUP(A358,'SegEnds_NonXtal_Prot#'!A:AL,34,FALSE)</f>
        <v>21</v>
      </c>
      <c r="AL358" s="1" t="str">
        <f>IF(ISERROR(MATCH(A358,'SegEnds_Xtal_Prot#'!B:B, 0)), "NoXtal", "Xtal")</f>
        <v>NoXtal</v>
      </c>
    </row>
    <row r="359" spans="1:38" x14ac:dyDescent="0.2">
      <c r="A359" s="4" t="s">
        <v>114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88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36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33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32</v>
      </c>
      <c r="AC359" s="4">
        <f>VLOOKUP(A359,'SegEnds_NonXtal_Prot#'!A:AL,10,FALSE)-VLOOKUP(A359,'SegEnds_NonXtal_Prot#'!A:AL,7,FALSE)</f>
        <v>16</v>
      </c>
      <c r="AD359" s="4" t="e">
        <f>VLOOKUP(A359,'SegEnds_NonXtal_Prot#'!A:AL,13,FALSE)-VLOOKUP(A359,'SegEnds_NonXtal_Prot#'!A:AL,10,FALSE)</f>
        <v>#VALUE!</v>
      </c>
      <c r="AE359" s="4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4">
        <f>VLOOKUP(A359,'SegEnds_NonXtal_Prot#'!A:AL,28,FALSE)-VLOOKUP(A359,'SegEnds_NonXtal_Prot#'!A:AL,25,FALSE)</f>
        <v>18</v>
      </c>
      <c r="AH359" s="1">
        <f>VLOOKUP(A359,'SegEnds_NonXtal_Prot#'!A:AL,28,FALSE)-VLOOKUP(A359,'SegEnds_NonXtal_Prot#'!A:AL,22,FALSE)</f>
        <v>50</v>
      </c>
      <c r="AI359" s="4">
        <f>VLOOKUP(A359,'SegEnds_NonXtal_Prot#'!A:AL,31,FALSE)-VLOOKUP(A359,'SegEnds_NonXtal_Prot#'!A:AL,28,FALSE)</f>
        <v>35</v>
      </c>
      <c r="AJ359" s="4">
        <f>VLOOKUP(A359,'SegEnds_NonXtal_Prot#'!A:AL,34,FALSE)-VLOOKUP(A359,'SegEnds_NonXtal_Prot#'!A:AL,31,FALSE)</f>
        <v>29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4" t="s">
        <v>40</v>
      </c>
      <c r="B360" s="4" t="str">
        <f>VLOOKUP(A360,Xtal_Templ!A:B,2,FALSE)</f>
        <v>grm1_human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22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88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36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33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4">
        <f>VLOOKUP(A360,'SegEnds_NonXtal_Prot#'!A:AL,10,FALSE)-VLOOKUP(A360,'SegEnds_NonXtal_Prot#'!A:AL,7,FALSE)</f>
        <v>15</v>
      </c>
      <c r="AD360" s="4" t="e">
        <f>VLOOKUP(A360,'SegEnds_NonXtal_Prot#'!A:AL,13,FALSE)-VLOOKUP(A360,'SegEnds_NonXtal_Prot#'!A:AL,10,FALSE)</f>
        <v>#VALUE!</v>
      </c>
      <c r="AE360" s="4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4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49</v>
      </c>
      <c r="AI360" s="4">
        <f>VLOOKUP(A360,'SegEnds_NonXtal_Prot#'!A:AL,31,FALSE)-VLOOKUP(A360,'SegEnds_NonXtal_Prot#'!A:AL,28,FALSE)</f>
        <v>37</v>
      </c>
      <c r="AJ360" s="4">
        <f>VLOOKUP(A360,'SegEnds_NonXtal_Prot#'!A:AL,34,FALSE)-VLOOKUP(A360,'SegEnds_NonXtal_Prot#'!A:AL,31,FALSE)</f>
        <v>27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Xtal</v>
      </c>
    </row>
    <row r="361" spans="1:38" x14ac:dyDescent="0.2">
      <c r="A361" s="1" t="s">
        <v>115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116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31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117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41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49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27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VLOOKUP(A368,'SegEnds_NonXtal_Prot#'!A:AL,28,FALSE)-VLOOKUP(A368,'SegEnds_NonXtal_Prot#'!A:AL,25,FALSE)</f>
        <v>#VALUE!</v>
      </c>
      <c r="AH368" s="1">
        <f>VLOOKUP(A368,'SegEnds_NonXtal_Prot#'!A:AL,28,FALSE)-VLOOKUP(A368,'SegEnds_NonXtal_Prot#'!A:AL,22,FALSE)</f>
        <v>45</v>
      </c>
      <c r="AI368" s="1">
        <f>VLOOKUP(A368,'SegEnds_NonXtal_Prot#'!A:AL,31,FALSE)-VLOOKUP(A368,'SegEnds_NonXtal_Prot#'!A:AL,28,FALSE)</f>
        <v>39</v>
      </c>
      <c r="AJ368" s="1">
        <f>VLOOKUP(A368,'SegEnds_NonXtal_Prot#'!A:AL,34,FALSE)-VLOOKUP(A368,'SegEnds_NonXtal_Prot#'!A:AL,31,FALSE)</f>
        <v>31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122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123</v>
      </c>
      <c r="B370" s="1" t="str">
        <f>VLOOKUP(A370,Xtal_Templ!A:B,2,FALSE)</f>
        <v>grm1_human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18</v>
      </c>
      <c r="AH370" s="1">
        <f>VLOOKUP(A370,'SegEnds_NonXtal_Prot#'!A:AL,28,FALSE)-VLOOKUP(A370,'SegEnds_NonXtal_Prot#'!A:AL,22,FALSE)</f>
        <v>52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29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124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18</v>
      </c>
      <c r="AH371" s="1">
        <f>VLOOKUP(A371,'SegEnds_NonXtal_Prot#'!A:AL,28,FALSE)-VLOOKUP(A371,'SegEnds_NonXtal_Prot#'!A:AL,22,FALSE)</f>
        <v>51</v>
      </c>
      <c r="AI371" s="1">
        <f>VLOOKUP(A371,'SegEnds_NonXtal_Prot#'!A:AL,31,FALSE)-VLOOKUP(A371,'SegEnds_NonXtal_Prot#'!A:AL,28,FALSE)</f>
        <v>37</v>
      </c>
      <c r="AJ371" s="1">
        <f>VLOOKUP(A371,'SegEnds_NonXtal_Prot#'!A:AL,34,FALSE)-VLOOKUP(A371,'SegEnds_NonXtal_Prot#'!A:AL,31,FALSE)</f>
        <v>29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1" t="s">
        <v>108</v>
      </c>
      <c r="B372" s="1" t="str">
        <f>VLOOKUP(A372,Xtal_Templ!A:B,2,FALSE)</f>
        <v>gabr2_human</v>
      </c>
      <c r="C372" s="5">
        <f>VLOOKUP($B372&amp;"__wt",'SegEnds_Xtal_BW#'!$A:$Z,3,FALSE)</f>
        <v>32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17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64</v>
      </c>
      <c r="U372" s="1">
        <f>VLOOKUP($B372&amp;"__wt",'SegEnds_Xtal_BW#'!$A:$Z,21,FALSE)</f>
        <v>33</v>
      </c>
      <c r="V372" s="1">
        <f>VLOOKUP($B372&amp;"__wt",'SegEnds_Xtal_BW#'!$A:$Z,22,FALSE)</f>
        <v>58</v>
      </c>
      <c r="W372" s="1">
        <f>VLOOKUP($B372&amp;"__wt",'SegEnds_Xtal_BW#'!$A:$Z,23,FALSE)</f>
        <v>30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50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19</v>
      </c>
      <c r="AH372" s="1">
        <f>VLOOKUP(A372,'SegEnds_NonXtal_Prot#'!A:AL,28,FALSE)-VLOOKUP(A372,'SegEnds_NonXtal_Prot#'!A:AL,22,FALSE)</f>
        <v>62</v>
      </c>
      <c r="AI372" s="1">
        <f>VLOOKUP(A372,'SegEnds_NonXtal_Prot#'!A:AL,31,FALSE)-VLOOKUP(A372,'SegEnds_NonXtal_Prot#'!A:AL,28,FALSE)</f>
        <v>39</v>
      </c>
      <c r="AJ372" s="1">
        <f>VLOOKUP(A372,'SegEnds_NonXtal_Prot#'!A:AL,34,FALSE)-VLOOKUP(A372,'SegEnds_NonXtal_Prot#'!A:AL,31,FALSE)</f>
        <v>30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4" t="s">
        <v>106</v>
      </c>
      <c r="B373" s="4" t="str">
        <f>VLOOKUP(A373,Xtal_Templ!A:B,2,FALSE)</f>
        <v>gabr1_human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62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20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35</v>
      </c>
      <c r="T373" s="4">
        <f>VLOOKUP($B373&amp;"__wt",'SegEnds_Xtal_BW#'!$A:$Z,20,FALSE)</f>
        <v>62</v>
      </c>
      <c r="U373" s="4">
        <f>VLOOKUP($B373&amp;"__wt",'SegEnds_Xtal_BW#'!$A:$Z,21,FALSE)</f>
        <v>33</v>
      </c>
      <c r="V373" s="4">
        <f>VLOOKUP($B373&amp;"__wt",'SegEnds_Xtal_BW#'!$A:$Z,22,FALSE)</f>
        <v>58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4">
        <f>VLOOKUP(A373,'SegEnds_NonXtal_Prot#'!A:AL,10,FALSE)-VLOOKUP(A373,'SegEnds_NonXtal_Prot#'!A:AL,7,FALSE)</f>
        <v>15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51</v>
      </c>
      <c r="AF373" s="1" t="e">
        <f>VLOOKUP(A373,'SegEnds_NonXtal_Prot#'!A:AL,22,FALSE)-VLOOKUP(A373,'SegEnds_NonXtal_Prot#'!A:AL,19,FALSE)</f>
        <v>#VALUE!</v>
      </c>
      <c r="AG373" s="4">
        <f>VLOOKUP(A373,'SegEnds_NonXtal_Prot#'!A:AL,28,FALSE)-VLOOKUP(A373,'SegEnds_NonXtal_Prot#'!A:AL,25,FALSE)</f>
        <v>19</v>
      </c>
      <c r="AH373" s="1">
        <f>VLOOKUP(A373,'SegEnds_NonXtal_Prot#'!A:AL,28,FALSE)-VLOOKUP(A373,'SegEnds_NonXtal_Prot#'!A:AL,22,FALSE)</f>
        <v>62</v>
      </c>
      <c r="AI373" s="4">
        <f>VLOOKUP(A373,'SegEnds_NonXtal_Prot#'!A:AL,31,FALSE)-VLOOKUP(A373,'SegEnds_NonXtal_Prot#'!A:AL,28,FALSE)</f>
        <v>38</v>
      </c>
      <c r="AJ373" s="4">
        <f>VLOOKUP(A373,'SegEnds_NonXtal_Prot#'!A:AL,34,FALSE)-VLOOKUP(A373,'SegEnds_NonXtal_Prot#'!A:AL,31,FALSE)</f>
        <v>31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Xtal</v>
      </c>
    </row>
    <row r="374" spans="1:38" x14ac:dyDescent="0.2">
      <c r="A374" s="1" t="s">
        <v>107</v>
      </c>
      <c r="B374" s="1" t="str">
        <f>VLOOKUP(A374,Xtal_Templ!A:B,2,FALSE)</f>
        <v>gabr2_human</v>
      </c>
      <c r="C374" s="5">
        <f>VLOOKUP($B374&amp;"__wt",'SegEnds_Xtal_BW#'!$A:$Z,3,FALSE)</f>
        <v>32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53</v>
      </c>
      <c r="G374" s="1">
        <v>39</v>
      </c>
      <c r="H374" s="12">
        <f>VLOOKUP($B374&amp;"__wt",'SegEnds_Xtal_BW#'!$A:$Z,8,FALSE)</f>
        <v>61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17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64</v>
      </c>
      <c r="U374" s="1">
        <f>VLOOKUP($B374&amp;"__wt",'SegEnds_Xtal_BW#'!$A:$Z,21,FALSE)</f>
        <v>33</v>
      </c>
      <c r="V374" s="1">
        <f>VLOOKUP($B374&amp;"__wt",'SegEnds_Xtal_BW#'!$A:$Z,22,FALSE)</f>
        <v>58</v>
      </c>
      <c r="W374" s="1">
        <f>VLOOKUP($B374&amp;"__wt",'SegEnds_Xtal_BW#'!$A:$Z,23,FALSE)</f>
        <v>30</v>
      </c>
      <c r="X374" s="1">
        <f>VLOOKUP($B374&amp;"__wt",'SegEnds_Xtal_BW#'!$A:$Z,24,FALSE)</f>
        <v>64</v>
      </c>
      <c r="Y374" s="1">
        <f>VLOOKUP($B374&amp;"__wt",'SegEnds_Xtal_BW#'!$A:$Z,25,FALSE)</f>
        <v>46</v>
      </c>
      <c r="Z374" s="1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31</v>
      </c>
      <c r="AC374" s="1">
        <f>VLOOKUP(A374,'SegEnds_NonXtal_Prot#'!A:AL,10,FALSE)-VLOOKUP(A374,'SegEnds_NonXtal_Prot#'!A:AL,7,FALSE)</f>
        <v>15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51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19</v>
      </c>
      <c r="AH374" s="1">
        <f>VLOOKUP(A374,'SegEnds_NonXtal_Prot#'!A:AL,28,FALSE)-VLOOKUP(A374,'SegEnds_NonXtal_Prot#'!A:AL,22,FALSE)</f>
        <v>62</v>
      </c>
      <c r="AI374" s="1">
        <f>VLOOKUP(A374,'SegEnds_NonXtal_Prot#'!A:AL,31,FALSE)-VLOOKUP(A374,'SegEnds_NonXtal_Prot#'!A:AL,28,FALSE)</f>
        <v>38</v>
      </c>
      <c r="AJ374" s="1">
        <f>VLOOKUP(A374,'SegEnds_NonXtal_Prot#'!A:AL,34,FALSE)-VLOOKUP(A374,'SegEnds_NonXtal_Prot#'!A:AL,31,FALSE)</f>
        <v>31</v>
      </c>
      <c r="AK374" s="1">
        <f>VLOOKUP(A374,'SegEnds_NonXtal_Prot#'!A:AL,37,FALSE)-VLOOKUP(A374,'SegEnds_NonXtal_Prot#'!A:AL,34,FALSE)</f>
        <v>19</v>
      </c>
      <c r="AL374" s="1" t="str">
        <f>IF(ISERROR(MATCH(A374,'SegEnds_Xtal_Prot#'!B:B, 0)), "NoXtal", "Xtal")</f>
        <v>Xtal</v>
      </c>
    </row>
    <row r="375" spans="1:38" x14ac:dyDescent="0.2">
      <c r="A375" s="1" t="s">
        <v>447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64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31</v>
      </c>
      <c r="V375" s="108">
        <v>78</v>
      </c>
      <c r="W375" s="1">
        <f>VLOOKUP($B375&amp;"__wt",'SegEnds_Xtal_BW#'!$A:$Z,23,FALSE)</f>
        <v>31</v>
      </c>
      <c r="X375" s="1">
        <f>VLOOKUP($B375&amp;"__wt",'SegEnds_Xtal_BW#'!$A:$Z,24,FALSE)</f>
        <v>54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28</v>
      </c>
      <c r="AC375" s="1">
        <f>VLOOKUP(A375,'SegEnds_NonXtal_Prot#'!A:AL,10,FALSE)-VLOOKUP(A375,'SegEnds_NonXtal_Prot#'!A:AL,7,FALSE)</f>
        <v>14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62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52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8</v>
      </c>
      <c r="AL375" s="1" t="str">
        <f>IF(ISERROR(MATCH(A375,'SegEnds_Xtal_Prot#'!B:B, 0)), "NoXtal", "Xtal")</f>
        <v>NoXtal</v>
      </c>
    </row>
    <row r="376" spans="1:38" x14ac:dyDescent="0.2">
      <c r="A376" s="1" t="s">
        <v>443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64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31</v>
      </c>
      <c r="V376" s="108">
        <v>78</v>
      </c>
      <c r="W376" s="1">
        <f>VLOOKUP($B376&amp;"__wt",'SegEnds_Xtal_BW#'!$A:$Z,23,FALSE)</f>
        <v>31</v>
      </c>
      <c r="X376" s="1">
        <f>VLOOKUP($B376&amp;"__wt",'SegEnds_Xtal_BW#'!$A:$Z,24,FALSE)</f>
        <v>54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28</v>
      </c>
      <c r="AC376" s="1">
        <f>VLOOKUP(A376,'SegEnds_NonXtal_Prot#'!A:AL,10,FALSE)-VLOOKUP(A376,'SegEnds_NonXtal_Prot#'!A:AL,7,FALSE)</f>
        <v>14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64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52</v>
      </c>
      <c r="AJ376" s="1">
        <f>VLOOKUP(A376,'SegEnds_NonXtal_Prot#'!A:AL,34,FALSE)-VLOOKUP(A376,'SegEnds_NonXtal_Prot#'!A:AL,31,FALSE)</f>
        <v>62</v>
      </c>
      <c r="AK376" s="1">
        <f>VLOOKUP(A376,'SegEnds_NonXtal_Prot#'!A:AL,37,FALSE)-VLOOKUP(A376,'SegEnds_NonXtal_Prot#'!A:AL,34,FALSE)</f>
        <v>8</v>
      </c>
      <c r="AL376" s="1" t="str">
        <f>IF(ISERROR(MATCH(A376,'SegEnds_Xtal_Prot#'!B:B, 0)), "NoXtal", "Xtal")</f>
        <v>NoXtal</v>
      </c>
    </row>
    <row r="377" spans="1:38" x14ac:dyDescent="0.2">
      <c r="A377" s="1" t="s">
        <v>451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64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31</v>
      </c>
      <c r="V377" s="108">
        <v>78</v>
      </c>
      <c r="W377" s="1">
        <f>VLOOKUP($B377&amp;"__wt",'SegEnds_Xtal_BW#'!$A:$Z,23,FALSE)</f>
        <v>31</v>
      </c>
      <c r="X377" s="1">
        <f>VLOOKUP($B377&amp;"__wt",'SegEnds_Xtal_BW#'!$A:$Z,24,FALSE)</f>
        <v>54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28</v>
      </c>
      <c r="AC377" s="1">
        <f>VLOOKUP(A377,'SegEnds_NonXtal_Prot#'!A:AL,10,FALSE)-VLOOKUP(A377,'SegEnds_NonXtal_Prot#'!A:AL,7,FALSE)</f>
        <v>14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64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52</v>
      </c>
      <c r="AJ377" s="1">
        <f>VLOOKUP(A377,'SegEnds_NonXtal_Prot#'!A:AL,34,FALSE)-VLOOKUP(A377,'SegEnds_NonXtal_Prot#'!A:AL,31,FALSE)</f>
        <v>64</v>
      </c>
      <c r="AK377" s="1">
        <f>VLOOKUP(A377,'SegEnds_NonXtal_Prot#'!A:AL,37,FALSE)-VLOOKUP(A377,'SegEnds_NonXtal_Prot#'!A:AL,34,FALSE)</f>
        <v>8</v>
      </c>
      <c r="AL377" s="1" t="str">
        <f>IF(ISERROR(MATCH(A377,'SegEnds_Xtal_Prot#'!B:B, 0)), "NoXtal", "Xtal")</f>
        <v>NoXtal</v>
      </c>
    </row>
    <row r="378" spans="1:38" x14ac:dyDescent="0.2">
      <c r="A378" s="1" t="s">
        <v>442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64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31</v>
      </c>
      <c r="V378" s="108">
        <v>78</v>
      </c>
      <c r="W378" s="1">
        <f>VLOOKUP($B378&amp;"__wt",'SegEnds_Xtal_BW#'!$A:$Z,23,FALSE)</f>
        <v>31</v>
      </c>
      <c r="X378" s="1">
        <f>VLOOKUP($B378&amp;"__wt",'SegEnds_Xtal_BW#'!$A:$Z,24,FALSE)</f>
        <v>54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28</v>
      </c>
      <c r="AC378" s="1">
        <f>VLOOKUP(A378,'SegEnds_NonXtal_Prot#'!A:AL,10,FALSE)-VLOOKUP(A378,'SegEnds_NonXtal_Prot#'!A:AL,7,FALSE)</f>
        <v>14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65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52</v>
      </c>
      <c r="AJ378" s="1">
        <f>VLOOKUP(A378,'SegEnds_NonXtal_Prot#'!A:AL,34,FALSE)-VLOOKUP(A378,'SegEnds_NonXtal_Prot#'!A:AL,31,FALSE)</f>
        <v>68</v>
      </c>
      <c r="AK378" s="1">
        <f>VLOOKUP(A378,'SegEnds_NonXtal_Prot#'!A:AL,37,FALSE)-VLOOKUP(A378,'SegEnds_NonXtal_Prot#'!A:AL,34,FALSE)</f>
        <v>8</v>
      </c>
      <c r="AL378" s="1" t="str">
        <f>IF(ISERROR(MATCH(A378,'SegEnds_Xtal_Prot#'!B:B, 0)), "NoXtal", "Xtal")</f>
        <v>NoXtal</v>
      </c>
    </row>
    <row r="379" spans="1:38" x14ac:dyDescent="0.2">
      <c r="A379" s="1" t="s">
        <v>444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64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31</v>
      </c>
      <c r="V379" s="108">
        <v>78</v>
      </c>
      <c r="W379" s="1">
        <f>VLOOKUP($B379&amp;"__wt",'SegEnds_Xtal_BW#'!$A:$Z,23,FALSE)</f>
        <v>31</v>
      </c>
      <c r="X379" s="1">
        <f>VLOOKUP($B379&amp;"__wt",'SegEnds_Xtal_BW#'!$A:$Z,24,FALSE)</f>
        <v>54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28</v>
      </c>
      <c r="AC379" s="1">
        <f>VLOOKUP(A379,'SegEnds_NonXtal_Prot#'!A:AL,10,FALSE)-VLOOKUP(A379,'SegEnds_NonXtal_Prot#'!A:AL,7,FALSE)</f>
        <v>14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65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52</v>
      </c>
      <c r="AJ379" s="1">
        <f>VLOOKUP(A379,'SegEnds_NonXtal_Prot#'!A:AL,34,FALSE)-VLOOKUP(A379,'SegEnds_NonXtal_Prot#'!A:AL,31,FALSE)</f>
        <v>61</v>
      </c>
      <c r="AK379" s="1">
        <f>VLOOKUP(A379,'SegEnds_NonXtal_Prot#'!A:AL,37,FALSE)-VLOOKUP(A379,'SegEnds_NonXtal_Prot#'!A:AL,34,FALSE)</f>
        <v>8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64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31</v>
      </c>
      <c r="V380" s="1">
        <f>VLOOKUP($B380&amp;"__wt",'SegEnds_Xtal_BW#'!$A:$Z,22,FALSE)</f>
        <v>61</v>
      </c>
      <c r="W380" s="1">
        <f>VLOOKUP($B380&amp;"__wt",'SegEnds_Xtal_BW#'!$A:$Z,23,FALSE)</f>
        <v>31</v>
      </c>
      <c r="X380" s="1">
        <f>VLOOKUP($B380&amp;"__wt",'SegEnds_Xtal_BW#'!$A:$Z,24,FALSE)</f>
        <v>54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28</v>
      </c>
      <c r="AC380" s="1">
        <f>VLOOKUP(A380,'SegEnds_NonXtal_Prot#'!A:AL,10,FALSE)-VLOOKUP(A380,'SegEnds_NonXtal_Prot#'!A:AL,7,FALSE)</f>
        <v>14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65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52</v>
      </c>
      <c r="AJ380" s="1">
        <f>VLOOKUP(A380,'SegEnds_NonXtal_Prot#'!A:AL,34,FALSE)-VLOOKUP(A380,'SegEnds_NonXtal_Prot#'!A:AL,31,FALSE)</f>
        <v>42</v>
      </c>
      <c r="AK380" s="1">
        <f>VLOOKUP(A380,'SegEnds_NonXtal_Prot#'!A:AL,37,FALSE)-VLOOKUP(A380,'SegEnds_NonXtal_Prot#'!A:AL,34,FALSE)</f>
        <v>8</v>
      </c>
      <c r="AL380" s="1" t="str">
        <f>IF(ISERROR(MATCH(A380,'SegEnds_Xtal_Prot#'!B:B, 0)), "NoXtal", "Xtal")</f>
        <v>Xtal</v>
      </c>
    </row>
    <row r="381" spans="1:38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64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31</v>
      </c>
      <c r="V381" s="108">
        <v>78</v>
      </c>
      <c r="W381" s="1">
        <f>VLOOKUP($B381&amp;"__wt",'SegEnds_Xtal_BW#'!$A:$Z,23,FALSE)</f>
        <v>31</v>
      </c>
      <c r="X381" s="1">
        <f>VLOOKUP($B381&amp;"__wt",'SegEnds_Xtal_BW#'!$A:$Z,24,FALSE)</f>
        <v>54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28</v>
      </c>
      <c r="AC381" s="1">
        <f>VLOOKUP(A381,'SegEnds_NonXtal_Prot#'!A:AL,10,FALSE)-VLOOKUP(A381,'SegEnds_NonXtal_Prot#'!A:AL,7,FALSE)</f>
        <v>14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65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52</v>
      </c>
      <c r="AJ381" s="1">
        <f>VLOOKUP(A381,'SegEnds_NonXtal_Prot#'!A:AL,34,FALSE)-VLOOKUP(A381,'SegEnds_NonXtal_Prot#'!A:AL,31,FALSE)</f>
        <v>61</v>
      </c>
      <c r="AK381" s="1">
        <f>VLOOKUP(A381,'SegEnds_NonXtal_Prot#'!A:AL,37,FALSE)-VLOOKUP(A381,'SegEnds_NonXtal_Prot#'!A:AL,34,FALSE)</f>
        <v>8</v>
      </c>
      <c r="AL381" s="1" t="str">
        <f>IF(ISERROR(MATCH(A381,'SegEnds_Xtal_Prot#'!B:B, 0)), "NoXtal", "Xtal")</f>
        <v>NoXtal</v>
      </c>
    </row>
    <row r="382" spans="1:38" x14ac:dyDescent="0.2">
      <c r="A382" s="121" t="s">
        <v>1491</v>
      </c>
      <c r="B382" s="1" t="str">
        <f>VLOOKUP(A382,Xtal_Templ!A:B,2,FALSE)</f>
        <v>q98sw5_xenla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59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59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38</v>
      </c>
      <c r="P382" s="1">
        <f>VLOOKUP($B382&amp;"__wt",'SegEnds_Xtal_BW#'!$A:$Z,16,FALSE)</f>
        <v>63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27</v>
      </c>
      <c r="V382" s="1">
        <f>VLOOKUP($B382&amp;"__wt",'SegEnds_Xtal_BW#'!$A:$Z,22,FALSE)</f>
        <v>84</v>
      </c>
      <c r="W382" s="1">
        <f>VLOOKUP($B382&amp;"__wt",'SegEnds_Xtal_BW#'!$A:$Z,23,FALSE)</f>
        <v>31</v>
      </c>
      <c r="X382" s="1">
        <f>VLOOKUP($B382&amp;"__wt",'SegEnds_Xtal_BW#'!$A:$Z,24,FALSE)</f>
        <v>54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29</v>
      </c>
      <c r="AC382" s="1">
        <f>VLOOKUP(A382,'SegEnds_NonXtal_Prot#'!A:AL,10,FALSE)-VLOOKUP(A382,'SegEnds_NonXtal_Prot#'!A:AL,7,FALSE)</f>
        <v>15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65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54</v>
      </c>
      <c r="AJ382" s="1">
        <f>VLOOKUP(A382,'SegEnds_NonXtal_Prot#'!A:AL,34,FALSE)-VLOOKUP(A382,'SegEnds_NonXtal_Prot#'!A:AL,31,FALSE)</f>
        <v>68</v>
      </c>
      <c r="AK382" s="1">
        <f>VLOOKUP(A382,'SegEnds_NonXtal_Prot#'!A:AL,37,FALSE)-VLOOKUP(A382,'SegEnds_NonXtal_Prot#'!A:AL,34,FALSE)</f>
        <v>8</v>
      </c>
      <c r="AL382" s="1" t="str">
        <f>IF(ISERROR(MATCH(A382,'SegEnds_Xtal_Prot#'!B:B, 0)), "NoXtal", "Xtal")</f>
        <v>Xtal</v>
      </c>
    </row>
    <row r="383" spans="1:38" x14ac:dyDescent="0.2">
      <c r="A383" s="1" t="s">
        <v>33</v>
      </c>
      <c r="B383" s="1" t="str">
        <f>VLOOKUP(A383,Xtal_Templ!A:B,2,FALSE)</f>
        <v>smo_human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40</v>
      </c>
      <c r="H383" s="12">
        <f>VLOOKUP($B383&amp;"__wt",'SegEnds_Xtal_BW#'!$A:$Z,8,FALSE)</f>
        <v>61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23</v>
      </c>
      <c r="V383" s="1">
        <f>VLOOKUP($B383&amp;"__wt",'SegEnds_Xtal_BW#'!$A:$Z,22,FALSE)</f>
        <v>81</v>
      </c>
      <c r="W383" s="1">
        <f>VLOOKUP($B383&amp;"__wt",'SegEnds_Xtal_BW#'!$A:$Z,23,FALSE)</f>
        <v>31</v>
      </c>
      <c r="X383" s="1">
        <f>VLOOKUP($B383&amp;"__wt",'SegEnds_Xtal_BW#'!$A:$Z,24,FALSE)</f>
        <v>54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29</v>
      </c>
      <c r="AC383" s="1">
        <f>VLOOKUP(A383,'SegEnds_NonXtal_Prot#'!A:AL,10,FALSE)-VLOOKUP(A383,'SegEnds_NonXtal_Prot#'!A:AL,7,FALSE)</f>
        <v>15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65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54</v>
      </c>
      <c r="AJ383" s="1">
        <f>VLOOKUP(A383,'SegEnds_NonXtal_Prot#'!A:AL,34,FALSE)-VLOOKUP(A383,'SegEnds_NonXtal_Prot#'!A:AL,31,FALSE)</f>
        <v>68</v>
      </c>
      <c r="AK383" s="1">
        <f>VLOOKUP(A383,'SegEnds_NonXtal_Prot#'!A:AL,37,FALSE)-VLOOKUP(A383,'SegEnds_NonXtal_Prot#'!A:AL,34,FALSE)</f>
        <v>8</v>
      </c>
      <c r="AL383" s="1" t="str">
        <f>IF(ISERROR(MATCH(A383,'SegEnds_Xtal_Prot#'!B:B, 0)), "NoXtal", "Xtal")</f>
        <v>Xtal</v>
      </c>
    </row>
    <row r="384" spans="1:38" x14ac:dyDescent="0.2">
      <c r="A384" s="1" t="s">
        <v>1590</v>
      </c>
      <c r="B384" s="1" t="str">
        <f>VLOOKUP(A384,Xtal_Templ!A:B,2,FALSE)</f>
        <v>smo_mouse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41</v>
      </c>
      <c r="H384" s="12">
        <f>VLOOKUP($B384&amp;"__wt",'SegEnds_Xtal_BW#'!$A:$Z,8,FALSE)</f>
        <v>61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56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23</v>
      </c>
      <c r="V384" s="1">
        <f>VLOOKUP($B384&amp;"__wt",'SegEnds_Xtal_BW#'!$A:$Z,22,FALSE)</f>
        <v>81</v>
      </c>
      <c r="W384" s="1">
        <f>VLOOKUP($B384&amp;"__wt",'SegEnds_Xtal_BW#'!$A:$Z,23,FALSE)</f>
        <v>31</v>
      </c>
      <c r="X384" s="1">
        <f>VLOOKUP($B384&amp;"__wt",'SegEnds_Xtal_BW#'!$A:$Z,24,FALSE)</f>
        <v>54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29</v>
      </c>
      <c r="AC384" s="1">
        <f>VLOOKUP(A384,'SegEnds_NonXtal_Prot#'!A:AL,10,FALSE)-VLOOKUP(A384,'SegEnds_NonXtal_Prot#'!A:AL,7,FALSE)</f>
        <v>15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65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54</v>
      </c>
      <c r="AJ384" s="1">
        <f>VLOOKUP(A384,'SegEnds_NonXtal_Prot#'!A:AL,34,FALSE)-VLOOKUP(A384,'SegEnds_NonXtal_Prot#'!A:AL,31,FALSE)</f>
        <v>68</v>
      </c>
      <c r="AK384" s="1">
        <f>VLOOKUP(A384,'SegEnds_NonXtal_Prot#'!A:AL,37,FALSE)-VLOOKUP(A384,'SegEnds_NonXtal_Prot#'!A:AL,34,FALSE)</f>
        <v>8</v>
      </c>
      <c r="AL384" s="1" t="str">
        <f>IF(ISERROR(MATCH(A384,'SegEnds_Xtal_Prot#'!B:B, 0)), "NoXtal", "Xtal")</f>
        <v>Xtal</v>
      </c>
    </row>
    <row r="385" spans="1:38" x14ac:dyDescent="0.2">
      <c r="A385" s="1" t="s">
        <v>445</v>
      </c>
      <c r="B385" s="1" t="str">
        <f>VLOOKUP(A385,Xtal_Templ!A:B,2,FALSE)</f>
        <v>fzd4_human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39</v>
      </c>
      <c r="H385" s="12">
        <f>VLOOKUP($B385&amp;"__wt",'SegEnds_Xtal_BW#'!$A:$Z,8,FALSE)</f>
        <v>64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22</v>
      </c>
      <c r="L385" s="1">
        <f>VLOOKUP($B385&amp;"__wt",'SegEnds_Xtal_BW#'!$A:$Z,12,FALSE)</f>
        <v>55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31</v>
      </c>
      <c r="V385" s="108">
        <v>78</v>
      </c>
      <c r="W385" s="1">
        <f>VLOOKUP($B385&amp;"__wt",'SegEnds_Xtal_BW#'!$A:$Z,23,FALSE)</f>
        <v>31</v>
      </c>
      <c r="X385" s="1">
        <f>VLOOKUP($B385&amp;"__wt",'SegEnds_Xtal_BW#'!$A:$Z,24,FALSE)</f>
        <v>54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28</v>
      </c>
      <c r="AC385" s="1">
        <f>VLOOKUP(A385,'SegEnds_NonXtal_Prot#'!A:AL,10,FALSE)-VLOOKUP(A385,'SegEnds_NonXtal_Prot#'!A:AL,7,FALSE)</f>
        <v>14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66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52</v>
      </c>
      <c r="AJ385" s="1">
        <f>VLOOKUP(A385,'SegEnds_NonXtal_Prot#'!A:AL,34,FALSE)-VLOOKUP(A385,'SegEnds_NonXtal_Prot#'!A:AL,31,FALSE)</f>
        <v>61</v>
      </c>
      <c r="AK385" s="1">
        <f>VLOOKUP(A385,'SegEnds_NonXtal_Prot#'!A:AL,37,FALSE)-VLOOKUP(A385,'SegEnds_NonXtal_Prot#'!A:AL,34,FALSE)</f>
        <v>8</v>
      </c>
      <c r="AL385" s="1" t="str">
        <f>IF(ISERROR(MATCH(A385,'SegEnds_Xtal_Prot#'!B:B, 0)), "NoXtal", "Xtal")</f>
        <v>NoXtal</v>
      </c>
    </row>
    <row r="386" spans="1:38" x14ac:dyDescent="0.2">
      <c r="A386" s="1" t="s">
        <v>448</v>
      </c>
      <c r="B386" s="1" t="str">
        <f>VLOOKUP(A386,Xtal_Templ!A:B,2,FALSE)</f>
        <v>fzd4_human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39</v>
      </c>
      <c r="H386" s="12">
        <f>VLOOKUP($B386&amp;"__wt",'SegEnds_Xtal_BW#'!$A:$Z,8,FALSE)</f>
        <v>64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22</v>
      </c>
      <c r="L386" s="1">
        <f>VLOOKUP($B386&amp;"__wt",'SegEnds_Xtal_BW#'!$A:$Z,12,FALSE)</f>
        <v>55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31</v>
      </c>
      <c r="V386" s="108">
        <v>78</v>
      </c>
      <c r="W386" s="1">
        <f>VLOOKUP($B386&amp;"__wt",'SegEnds_Xtal_BW#'!$A:$Z,23,FALSE)</f>
        <v>31</v>
      </c>
      <c r="X386" s="1">
        <f>VLOOKUP($B386&amp;"__wt",'SegEnds_Xtal_BW#'!$A:$Z,24,FALSE)</f>
        <v>54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28</v>
      </c>
      <c r="AC386" s="1">
        <f>VLOOKUP(A386,'SegEnds_NonXtal_Prot#'!A:AL,10,FALSE)-VLOOKUP(A386,'SegEnds_NonXtal_Prot#'!A:AL,7,FALSE)</f>
        <v>14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66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52</v>
      </c>
      <c r="AJ386" s="1">
        <f>VLOOKUP(A386,'SegEnds_NonXtal_Prot#'!A:AL,34,FALSE)-VLOOKUP(A386,'SegEnds_NonXtal_Prot#'!A:AL,31,FALSE)</f>
        <v>61</v>
      </c>
      <c r="AK386" s="1">
        <f>VLOOKUP(A386,'SegEnds_NonXtal_Prot#'!A:AL,37,FALSE)-VLOOKUP(A386,'SegEnds_NonXtal_Prot#'!A:AL,34,FALSE)</f>
        <v>8</v>
      </c>
      <c r="AL386" s="1" t="str">
        <f>IF(ISERROR(MATCH(A386,'SegEnds_Xtal_Prot#'!B:B, 0)), "NoXtal", "Xtal")</f>
        <v>NoXtal</v>
      </c>
    </row>
    <row r="387" spans="1:38" x14ac:dyDescent="0.2">
      <c r="A387" s="1" t="s">
        <v>450</v>
      </c>
      <c r="B387" s="1" t="str">
        <f>VLOOKUP(A387,Xtal_Templ!A:B,2,FALSE)</f>
        <v>fzd4_human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39</v>
      </c>
      <c r="H387" s="12">
        <f>VLOOKUP($B387&amp;"__wt",'SegEnds_Xtal_BW#'!$A:$Z,8,FALSE)</f>
        <v>64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22</v>
      </c>
      <c r="L387" s="1">
        <f>VLOOKUP($B387&amp;"__wt",'SegEnds_Xtal_BW#'!$A:$Z,12,FALSE)</f>
        <v>55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31</v>
      </c>
      <c r="V387" s="108">
        <v>78</v>
      </c>
      <c r="W387" s="1">
        <f>VLOOKUP($B387&amp;"__wt",'SegEnds_Xtal_BW#'!$A:$Z,23,FALSE)</f>
        <v>31</v>
      </c>
      <c r="X387" s="1">
        <f>VLOOKUP($B387&amp;"__wt",'SegEnds_Xtal_BW#'!$A:$Z,24,FALSE)</f>
        <v>54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28</v>
      </c>
      <c r="AC387" s="1">
        <f>VLOOKUP(A387,'SegEnds_NonXtal_Prot#'!A:AL,10,FALSE)-VLOOKUP(A387,'SegEnds_NonXtal_Prot#'!A:AL,7,FALSE)</f>
        <v>14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101</v>
      </c>
      <c r="AF387" s="1" t="e">
        <f>VLOOKUP(A387,'SegEnds_NonXtal_Prot#'!A:AL,22,FALSE)-VLOOKUP(A387,'SegEnds_NonXtal_Prot#'!A:AL,19,FALSE)</f>
        <v>#VALUE!</v>
      </c>
      <c r="AG387" s="1">
        <f>VLOOKUP(A387,'SegEnds_NonXtal_Prot#'!A:AL,28,FALSE)-VLOOKUP(A387,'SegEnds_NonXtal_Prot#'!A:AL,25,FALSE)</f>
        <v>21</v>
      </c>
      <c r="AH387" s="1">
        <f>VLOOKUP(A387,'SegEnds_NonXtal_Prot#'!A:AL,28,FALSE)-VLOOKUP(A387,'SegEnds_NonXtal_Prot#'!A:AL,22,FALSE)</f>
        <v>46</v>
      </c>
      <c r="AI387" s="1">
        <f>VLOOKUP(A387,'SegEnds_NonXtal_Prot#'!A:AL,31,FALSE)-VLOOKUP(A387,'SegEnds_NonXtal_Prot#'!A:AL,28,FALSE)</f>
        <v>54</v>
      </c>
      <c r="AJ387" s="1">
        <f>VLOOKUP(A387,'SegEnds_NonXtal_Prot#'!A:AL,34,FALSE)-VLOOKUP(A387,'SegEnds_NonXtal_Prot#'!A:AL,31,FALSE)</f>
        <v>55</v>
      </c>
      <c r="AK387" s="1">
        <f>VLOOKUP(A387,'SegEnds_NonXtal_Prot#'!A:AL,37,FALSE)-VLOOKUP(A387,'SegEnds_NonXtal_Prot#'!A:AL,34,FALSE)</f>
        <v>8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pe2r4_human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08">
        <v>61</v>
      </c>
      <c r="Q388" s="1" t="s">
        <v>23</v>
      </c>
      <c r="R388" s="1" t="s">
        <v>23</v>
      </c>
      <c r="S388" s="108">
        <v>40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32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45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25</v>
      </c>
      <c r="AI388" s="1">
        <f>VLOOKUP(A388,'SegEnds_NonXtal_Prot#'!A:AL,31,FALSE)-VLOOKUP(A388,'SegEnds_NonXtal_Prot#'!A:AL,28,FALSE)</f>
        <v>76</v>
      </c>
      <c r="AJ388" s="1">
        <f>VLOOKUP(A388,'SegEnds_NonXtal_Prot#'!A:AL,34,FALSE)-VLOOKUP(A388,'SegEnds_NonXtal_Prot#'!A:AL,31,FALSE)</f>
        <v>36</v>
      </c>
      <c r="AK388" s="1">
        <f>VLOOKUP(A388,'SegEnds_NonXtal_Prot#'!A:AL,37,FALSE)-VLOOKUP(A388,'SegEnds_NonXtal_Prot#'!A:AL,34,FALSE)</f>
        <v>24</v>
      </c>
      <c r="AL388" s="1" t="str">
        <f>IF(ISERROR(MATCH(A388,'SegEnds_Xtal_Prot#'!B:B, 0)), "NoXtal", "Xtal")</f>
        <v>NoXtal</v>
      </c>
    </row>
    <row r="389" spans="1:38" x14ac:dyDescent="0.2">
      <c r="A389" s="1" t="s">
        <v>482</v>
      </c>
      <c r="B389" s="1" t="str">
        <f>VLOOKUP(A389,Xtal_Templ!A:B,2,FALSE)</f>
        <v>5ht2c_human</v>
      </c>
      <c r="C389" s="5">
        <f>VLOOKUP($B389&amp;"__wt",'SegEnds_Xtal_BW#'!$A:$Z,3,FALSE)</f>
        <v>33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28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47</v>
      </c>
      <c r="AF389" s="1" t="e">
        <f>VLOOKUP(A389,'SegEnds_NonXtal_Prot#'!A:AL,22,FALSE)-VLOOKUP(A389,'SegEnds_NonXtal_Prot#'!A:AL,19,FALSE)</f>
        <v>#VALUE!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29</v>
      </c>
      <c r="AI389" s="1">
        <f>VLOOKUP(A389,'SegEnds_NonXtal_Prot#'!A:AL,31,FALSE)-VLOOKUP(A389,'SegEnds_NonXtal_Prot#'!A:AL,28,FALSE)</f>
        <v>67</v>
      </c>
      <c r="AJ389" s="1">
        <f>VLOOKUP(A389,'SegEnds_NonXtal_Prot#'!A:AL,34,FALSE)-VLOOKUP(A389,'SegEnds_NonXtal_Prot#'!A:AL,31,FALSE)</f>
        <v>45</v>
      </c>
      <c r="AK389" s="1">
        <f>VLOOKUP(A389,'SegEnds_NonXtal_Prot#'!A:AL,37,FALSE)-VLOOKUP(A389,'SegEnds_NonXtal_Prot#'!A:AL,34,FALSE)</f>
        <v>18</v>
      </c>
      <c r="AL389" s="1" t="str">
        <f>IF(ISERROR(MATCH(A389,'SegEnds_Xtal_Prot#'!B:B, 0)), "NoXtal", "Xtal")</f>
        <v>NoXtal</v>
      </c>
    </row>
    <row r="390" spans="1:38" x14ac:dyDescent="0.2">
      <c r="A390" s="4" t="s">
        <v>481</v>
      </c>
      <c r="B390" s="4" t="str">
        <f>VLOOKUP(A390,Xtal_Templ!A:B,2,FALSE)</f>
        <v>aa2ar_human</v>
      </c>
      <c r="C390" s="5">
        <f>VLOOKUP($B390&amp;"__wt",'SegEnds_Xtal_BW#'!$A:$Z,3,FALSE)</f>
        <v>27</v>
      </c>
      <c r="D390" s="4">
        <v>60</v>
      </c>
      <c r="E390" s="4" t="s">
        <v>23</v>
      </c>
      <c r="F390" s="4" t="s">
        <v>23</v>
      </c>
      <c r="G390" s="4">
        <v>39</v>
      </c>
      <c r="H390" s="11">
        <v>63</v>
      </c>
      <c r="I390" s="4" t="s">
        <v>23</v>
      </c>
      <c r="J390" s="4" t="s">
        <v>23</v>
      </c>
      <c r="K390" s="11">
        <v>23</v>
      </c>
      <c r="L390" s="4">
        <v>56</v>
      </c>
      <c r="M390" s="4" t="s">
        <v>23</v>
      </c>
      <c r="N390" s="11" t="s">
        <v>23</v>
      </c>
      <c r="O390" s="88">
        <v>40</v>
      </c>
      <c r="P390" s="4">
        <v>64</v>
      </c>
      <c r="Q390" s="4" t="s">
        <v>23</v>
      </c>
      <c r="R390" s="4" t="s">
        <v>23</v>
      </c>
      <c r="S390" s="4">
        <v>39</v>
      </c>
      <c r="T390" s="4">
        <v>61</v>
      </c>
      <c r="U390" s="4">
        <v>29</v>
      </c>
      <c r="V390" s="4">
        <v>53</v>
      </c>
      <c r="W390" s="4">
        <v>35</v>
      </c>
      <c r="X390" s="4">
        <v>56</v>
      </c>
      <c r="Y390" s="4">
        <v>47</v>
      </c>
      <c r="Z390" s="4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36</v>
      </c>
      <c r="AC390" s="4" t="e">
        <f>VLOOKUP(A390,'SegEnds_NonXtal_Prot#'!A:AL,10,FALSE)-VLOOKUP(A390,'SegEnds_NonXtal_Prot#'!A:AL,7,FALSE)</f>
        <v>#VALUE!</v>
      </c>
      <c r="AD390" s="4" t="e">
        <f>VLOOKUP(A390,'SegEnds_NonXtal_Prot#'!A:AL,13,FALSE)-VLOOKUP(A390,'SegEnds_NonXtal_Prot#'!A:AL,10,FALSE)</f>
        <v>#VALUE!</v>
      </c>
      <c r="AE390" s="4">
        <f>VLOOKUP(A390,'SegEnds_NonXtal_Prot#'!A:AL,16,FALSE)-VLOOKUP(A390,'SegEnds_NonXtal_Prot#'!A:AL,10,FALSE)</f>
        <v>63</v>
      </c>
      <c r="AF390" s="1" t="e">
        <f>VLOOKUP(A390,'SegEnds_NonXtal_Prot#'!A:AL,22,FALSE)-VLOOKUP(A390,'SegEnds_NonXtal_Prot#'!A:AL,19,FALSE)</f>
        <v>#VALUE!</v>
      </c>
      <c r="AG390" s="4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39</v>
      </c>
      <c r="AI390" s="4">
        <f>VLOOKUP(A390,'SegEnds_NonXtal_Prot#'!A:AL,31,FALSE)-VLOOKUP(A390,'SegEnds_NonXtal_Prot#'!A:AL,28,FALSE)</f>
        <v>58</v>
      </c>
      <c r="AJ390" s="4">
        <f>VLOOKUP(A390,'SegEnds_NonXtal_Prot#'!A:AL,34,FALSE)-VLOOKUP(A390,'SegEnds_NonXtal_Prot#'!A:AL,31,FALSE)</f>
        <v>49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478</v>
      </c>
      <c r="B391" s="1" t="str">
        <f>VLOOKUP(A391,Xtal_Templ!A:B,2,FALSE)</f>
        <v>ccr9_human</v>
      </c>
      <c r="C391" s="5">
        <f>VLOOKUP($B391&amp;"__wt",'SegEnds_Xtal_BW#'!$A:$Z,3,FALSE)</f>
        <v>27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49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74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81</v>
      </c>
      <c r="AI391" s="1">
        <f>VLOOKUP(A391,'SegEnds_NonXtal_Prot#'!A:AL,31,FALSE)-VLOOKUP(A391,'SegEnds_NonXtal_Prot#'!A:AL,28,FALSE)</f>
        <v>37</v>
      </c>
      <c r="AJ391" s="1">
        <f>VLOOKUP(A391,'SegEnds_NonXtal_Prot#'!A:AL,34,FALSE)-VLOOKUP(A391,'SegEnds_NonXtal_Prot#'!A:AL,31,FALSE)</f>
        <v>44</v>
      </c>
      <c r="AK391" s="1">
        <f>VLOOKUP(A391,'SegEnds_NonXtal_Prot#'!A:AL,37,FALSE)-VLOOKUP(A391,'SegEnds_NonXtal_Prot#'!A:AL,34,FALSE)</f>
        <v>11</v>
      </c>
      <c r="AL391" s="1" t="str">
        <f>IF(ISERROR(MATCH(A391,'SegEnds_Xtal_Prot#'!B:B, 0)), "NoXtal", "Xtal")</f>
        <v>NoXtal</v>
      </c>
    </row>
    <row r="392" spans="1:38" x14ac:dyDescent="0.2">
      <c r="A392" s="1" t="s">
        <v>477</v>
      </c>
      <c r="B392" s="1" t="str">
        <f>VLOOKUP(A392,Xtal_Templ!A:B,2,FALSE)</f>
        <v>fpr2_human</v>
      </c>
      <c r="C392" s="5">
        <f>VLOOKUP($B392&amp;"__wt",'SegEnds_Xtal_BW#'!$A:$Z,3,FALSE)</f>
        <v>25</v>
      </c>
      <c r="D392" s="1">
        <v>60</v>
      </c>
      <c r="E392" s="1" t="s">
        <v>23</v>
      </c>
      <c r="F392" s="1" t="s">
        <v>23</v>
      </c>
      <c r="G392" s="1">
        <v>39</v>
      </c>
      <c r="H392" s="12">
        <v>63</v>
      </c>
      <c r="I392" s="1" t="s">
        <v>23</v>
      </c>
      <c r="J392" s="1" t="s">
        <v>23</v>
      </c>
      <c r="K392" s="12">
        <v>23</v>
      </c>
      <c r="L392" s="1">
        <v>56</v>
      </c>
      <c r="M392" s="1" t="s">
        <v>23</v>
      </c>
      <c r="N392" s="12" t="s">
        <v>23</v>
      </c>
      <c r="O392" s="87">
        <v>40</v>
      </c>
      <c r="P392" s="1">
        <f>VLOOKUP($B392&amp;"__wt",'SegEnds_Xtal_BW#'!$A:$Z,16,FALSE)</f>
        <v>64</v>
      </c>
      <c r="Q392" s="1" t="s">
        <v>23</v>
      </c>
      <c r="R392" s="1" t="s">
        <v>23</v>
      </c>
      <c r="S392" s="1">
        <v>39</v>
      </c>
      <c r="T392" s="1">
        <v>61</v>
      </c>
      <c r="U392" s="1">
        <v>29</v>
      </c>
      <c r="V392" s="1">
        <v>53</v>
      </c>
      <c r="W392" s="1">
        <v>35</v>
      </c>
      <c r="X392" s="1">
        <v>56</v>
      </c>
      <c r="Y392" s="1">
        <v>47</v>
      </c>
      <c r="Z392" s="1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18</v>
      </c>
      <c r="AC392" s="1" t="e">
        <f>VLOOKUP(A392,'SegEnds_NonXtal_Prot#'!A:AL,10,FALSE)-VLOOKUP(A392,'SegEnds_NonXtal_Prot#'!A:AL,7,FALSE)</f>
        <v>#VALUE!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81</v>
      </c>
      <c r="AF392" s="1" t="e">
        <f>VLOOKUP(A392,'SegEnds_NonXtal_Prot#'!A:AL,22,FALSE)-VLOOKUP(A392,'SegEnds_NonXtal_Prot#'!A:AL,19,FALSE)</f>
        <v>#VALUE!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83</v>
      </c>
      <c r="AI392" s="1">
        <f>VLOOKUP(A392,'SegEnds_NonXtal_Prot#'!A:AL,31,FALSE)-VLOOKUP(A392,'SegEnds_NonXtal_Prot#'!A:AL,28,FALSE)</f>
        <v>79</v>
      </c>
      <c r="AJ392" s="1">
        <f>VLOOKUP(A392,'SegEnds_NonXtal_Prot#'!A:AL,34,FALSE)-VLOOKUP(A392,'SegEnds_NonXtal_Prot#'!A:AL,31,FALSE)</f>
        <v>33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455</v>
      </c>
      <c r="B393" s="1" t="str">
        <f>VLOOKUP(A393,Xtal_Templ!A:B,2,FALSE)</f>
        <v>pd2r2_human</v>
      </c>
      <c r="C393" s="5">
        <v>32</v>
      </c>
      <c r="D393" s="1">
        <v>62</v>
      </c>
      <c r="E393" s="1" t="str">
        <f>VLOOKUP($B393&amp;"__wt",'SegEnds_Xtal_BW#'!$A:$Z,5,FALSE)</f>
        <v>-</v>
      </c>
      <c r="F393" s="1" t="str">
        <f>VLOOKUP($B393&amp;"__wt",'SegEnds_Xtal_BW#'!$A:$Z,6,FALSE)</f>
        <v>-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24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47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50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4" t="s">
        <v>470</v>
      </c>
      <c r="B394" s="4" t="str">
        <f>VLOOKUP(A394,Xtal_Templ!A:B,2,FALSE)</f>
        <v>cxcr4_human</v>
      </c>
      <c r="C394" s="5">
        <v>32</v>
      </c>
      <c r="D394" s="4">
        <v>62</v>
      </c>
      <c r="E394" s="4">
        <f>VLOOKUP($B394&amp;"__wt",'SegEnds_Xtal_BW#'!$A:$Z,5,FALSE)</f>
        <v>48</v>
      </c>
      <c r="F394" s="4">
        <f>VLOOKUP($B394&amp;"__wt",'SegEnds_Xtal_BW#'!$A:$Z,6,FALSE)</f>
        <v>51</v>
      </c>
      <c r="G394" s="4">
        <v>39</v>
      </c>
      <c r="H394" s="11">
        <v>66</v>
      </c>
      <c r="I394" s="4" t="s">
        <v>23</v>
      </c>
      <c r="J394" s="4" t="s">
        <v>23</v>
      </c>
      <c r="K394" s="11">
        <v>24</v>
      </c>
      <c r="L394" s="4">
        <f>VLOOKUP($B394&amp;"__wt",'SegEnds_Xtal_BW#'!$A:$Z,12,FALSE)</f>
        <v>56</v>
      </c>
      <c r="M394" s="4">
        <f>VLOOKUP($B394&amp;"__wt",'SegEnds_Xtal_BW#'!$A:$Z,13,FALSE)</f>
        <v>50</v>
      </c>
      <c r="N394" s="11">
        <v>57</v>
      </c>
      <c r="O394" s="88">
        <v>38</v>
      </c>
      <c r="P394" s="4">
        <f>VLOOKUP($B394&amp;"__wt",'SegEnds_Xtal_BW#'!$A:$Z,16,FALSE)</f>
        <v>64</v>
      </c>
      <c r="Q394" s="4">
        <f>VLOOKUP($B394&amp;"__wt",'SegEnds_Xtal_BW#'!$A:$Z,17,FALSE)</f>
        <v>50</v>
      </c>
      <c r="R394" s="4">
        <f>VLOOKUP($B394&amp;"__wt",'SegEnds_Xtal_BW#'!$A:$Z,18,FALSE)</f>
        <v>52</v>
      </c>
      <c r="S394" s="4">
        <v>32</v>
      </c>
      <c r="T394" s="4">
        <v>72</v>
      </c>
      <c r="U394" s="4">
        <v>29</v>
      </c>
      <c r="V394" s="4">
        <v>61</v>
      </c>
      <c r="W394" s="4">
        <v>31</v>
      </c>
      <c r="X394" s="4">
        <f>VLOOKUP($B394&amp;"__wt",'SegEnds_Xtal_BW#'!$A:$Z,24,FALSE)</f>
        <v>56</v>
      </c>
      <c r="Y394" s="4">
        <f>VLOOKUP($B394&amp;"__wt",'SegEnds_Xtal_BW#'!$A:$Z,25,FALSE)</f>
        <v>47</v>
      </c>
      <c r="Z394" s="4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4">
        <f>VLOOKUP(A394,'SegEnds_NonXtal_Prot#'!A:AL,10,FALSE)-VLOOKUP(A394,'SegEnds_NonXtal_Prot#'!A:AL,7,FALSE)</f>
        <v>16</v>
      </c>
      <c r="AD394" s="4" t="e">
        <f>VLOOKUP(A394,'SegEnds_NonXtal_Prot#'!A:AL,13,FALSE)-VLOOKUP(A394,'SegEnds_NonXtal_Prot#'!A:AL,10,FALSE)</f>
        <v>#VALUE!</v>
      </c>
      <c r="AE394" s="4">
        <f>VLOOKUP(A394,'SegEnds_NonXtal_Prot#'!A:AL,16,FALSE)-VLOOKUP(A394,'SegEnds_NonXtal_Prot#'!A:AL,10,FALSE)</f>
        <v>48</v>
      </c>
      <c r="AF394" s="1">
        <f>VLOOKUP(A394,'SegEnds_NonXtal_Prot#'!A:AL,22,FALSE)-VLOOKUP(A394,'SegEnds_NonXtal_Prot#'!A:AL,19,FALSE)</f>
        <v>20</v>
      </c>
      <c r="AG394" s="4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54</v>
      </c>
      <c r="AI394" s="4">
        <f>VLOOKUP(A394,'SegEnds_NonXtal_Prot#'!A:AL,31,FALSE)-VLOOKUP(A394,'SegEnds_NonXtal_Prot#'!A:AL,28,FALSE)</f>
        <v>53</v>
      </c>
      <c r="AJ394" s="4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473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24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f>VLOOKUP($B395&amp;"__wt",'SegEnds_Xtal_BW#'!$A:$Z,14,FALSE)</f>
        <v>57</v>
      </c>
      <c r="O395" s="87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48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458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459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465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925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466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467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53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452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58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30</v>
      </c>
      <c r="AC405" s="1">
        <f>VLOOKUP(A405,'SegEnds_NonXtal_Prot#'!A:AL,10,FALSE)-VLOOKUP(A405,'SegEnds_NonXtal_Prot#'!A:AL,7,FALSE)</f>
        <v>15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50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453</v>
      </c>
      <c r="B406" s="1" t="str">
        <f>VLOOKUP(A406,Xtal_Templ!A:B,2,FALSE)</f>
        <v>5ht2a_human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454</v>
      </c>
      <c r="B407" s="1" t="str">
        <f>VLOOKUP(A407,Xtal_Templ!A:B,2,FALSE)</f>
        <v>5ht2c_human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67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54</v>
      </c>
      <c r="AI407" s="1">
        <f>VLOOKUP(A407,'SegEnds_NonXtal_Prot#'!A:AL,31,FALSE)-VLOOKUP(A407,'SegEnds_NonXtal_Prot#'!A:AL,28,FALSE)</f>
        <v>52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461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462</v>
      </c>
      <c r="B409" s="1" t="str">
        <f>VLOOKUP(A409,Xtal_Templ!A:B,2,FALSE)</f>
        <v>5ht2a_human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67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463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35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464</v>
      </c>
      <c r="B411" s="1" t="str">
        <f>VLOOKUP(A411,Xtal_Templ!A:B,2,FALSE)</f>
        <v>hrh1_human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468</v>
      </c>
      <c r="B412" s="1" t="str">
        <f>VLOOKUP(A412,Xtal_Templ!A:B,2,FALSE)</f>
        <v>oprk_human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58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471</v>
      </c>
      <c r="B413" s="1" t="str">
        <f>VLOOKUP(A413,Xtal_Templ!A:B,2,FALSE)</f>
        <v>cxcr4_human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56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474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67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8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475</v>
      </c>
      <c r="B415" s="1" t="str">
        <f>VLOOKUP(A415,Xtal_Templ!A:B,2,FALSE)</f>
        <v>drd2_human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7">
        <v>38</v>
      </c>
      <c r="P415" s="1">
        <f>VLOOKUP($B415&amp;"__wt",'SegEnds_Xtal_BW#'!$A:$Z,16,FALSE)</f>
        <v>62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57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36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476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66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54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  <row r="417" spans="1:38" x14ac:dyDescent="0.2">
      <c r="A417" s="1" t="s">
        <v>460</v>
      </c>
      <c r="B417" s="1" t="str">
        <f>VLOOKUP(A417,Xtal_Templ!A:B,2,FALSE)</f>
        <v>agtr1_human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67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7">
        <v>38</v>
      </c>
      <c r="P417" s="1">
        <f>VLOOKUP($B417&amp;"__wt",'SegEnds_Xtal_BW#'!$A:$Z,16,FALSE)</f>
        <v>64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53</v>
      </c>
      <c r="AF417" s="1">
        <f>VLOOKUP(A417,'SegEnds_NonXtal_Prot#'!A:AL,22,FALSE)-VLOOKUP(A417,'SegEnds_NonXtal_Prot#'!A:AL,19,FALSE)</f>
        <v>20</v>
      </c>
      <c r="AG417" s="1" t="e">
        <f>VLOOKUP(A417,'SegEnds_NonXtal_Prot#'!A:AL,28,FALSE)-VLOOKUP(A417,'SegEnds_NonXtal_Prot#'!A:AL,25,FALSE)</f>
        <v>#VALUE!</v>
      </c>
      <c r="AH417" s="1">
        <f>VLOOKUP(A417,'SegEnds_NonXtal_Prot#'!A:AL,28,FALSE)-VLOOKUP(A417,'SegEnds_NonXtal_Prot#'!A:AL,22,FALSE)</f>
        <v>59</v>
      </c>
      <c r="AI417" s="1">
        <f>VLOOKUP(A417,'SegEnds_NonXtal_Prot#'!A:AL,31,FALSE)-VLOOKUP(A417,'SegEnds_NonXtal_Prot#'!A:AL,28,FALSE)</f>
        <v>53</v>
      </c>
      <c r="AJ417" s="1">
        <f>VLOOKUP(A417,'SegEnds_NonXtal_Prot#'!A:AL,34,FALSE)-VLOOKUP(A417,'SegEnds_NonXtal_Prot#'!A:AL,31,FALSE)</f>
        <v>36</v>
      </c>
      <c r="AK417" s="1">
        <f>VLOOKUP(A417,'SegEnds_NonXtal_Prot#'!A:AL,37,FALSE)-VLOOKUP(A417,'SegEnds_NonXtal_Prot#'!A:AL,34,FALSE)</f>
        <v>10</v>
      </c>
      <c r="AL417" s="1" t="str">
        <f>IF(ISERROR(MATCH(A417,'SegEnds_Xtal_Prot#'!B:B, 0)), "NoXtal", "Xtal")</f>
        <v>NoXtal</v>
      </c>
    </row>
  </sheetData>
  <sortState ref="A2:AL417">
    <sortCondition ref="AA2:AA417"/>
    <sortCondition ref="AE2:AE417"/>
    <sortCondition ref="A2:A41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9"/>
  <sheetViews>
    <sheetView zoomScale="120" zoomScaleNormal="120" zoomScalePageLayoutView="120" workbookViewId="0">
      <pane ySplit="1" topLeftCell="A2" activePane="bottomLeft" state="frozenSplit"/>
      <selection pane="bottomLeft" activeCell="R5" sqref="R5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1199</v>
      </c>
      <c r="C1" s="8" t="s">
        <v>1056</v>
      </c>
      <c r="D1" s="41" t="s">
        <v>1077</v>
      </c>
      <c r="E1" s="8" t="s">
        <v>1057</v>
      </c>
      <c r="F1" s="41" t="s">
        <v>1073</v>
      </c>
      <c r="G1" s="41" t="s">
        <v>1078</v>
      </c>
      <c r="H1" s="41" t="s">
        <v>1074</v>
      </c>
      <c r="I1" s="41" t="s">
        <v>1058</v>
      </c>
      <c r="J1" s="41" t="s">
        <v>1079</v>
      </c>
      <c r="K1" s="8" t="s">
        <v>1059</v>
      </c>
      <c r="L1" s="8" t="s">
        <v>1075</v>
      </c>
      <c r="M1" s="41" t="s">
        <v>1080</v>
      </c>
      <c r="N1" s="8" t="s">
        <v>1076</v>
      </c>
      <c r="O1" s="8" t="s">
        <v>1060</v>
      </c>
      <c r="P1" s="41" t="s">
        <v>1081</v>
      </c>
      <c r="Q1" s="8" t="s">
        <v>1061</v>
      </c>
      <c r="R1" s="8" t="s">
        <v>1088</v>
      </c>
      <c r="S1" s="41" t="s">
        <v>1087</v>
      </c>
      <c r="T1" s="86" t="s">
        <v>1089</v>
      </c>
      <c r="U1" s="99" t="s">
        <v>1062</v>
      </c>
      <c r="V1" s="41" t="s">
        <v>1082</v>
      </c>
      <c r="W1" s="8" t="s">
        <v>1063</v>
      </c>
      <c r="X1" s="8" t="s">
        <v>1091</v>
      </c>
      <c r="Y1" s="41" t="s">
        <v>1090</v>
      </c>
      <c r="Z1" s="8" t="s">
        <v>1092</v>
      </c>
      <c r="AA1" s="8" t="s">
        <v>1064</v>
      </c>
      <c r="AB1" s="41" t="s">
        <v>1083</v>
      </c>
      <c r="AC1" s="8" t="s">
        <v>1065</v>
      </c>
      <c r="AD1" s="8" t="s">
        <v>1066</v>
      </c>
      <c r="AE1" s="41" t="s">
        <v>1084</v>
      </c>
      <c r="AF1" s="8" t="s">
        <v>1067</v>
      </c>
      <c r="AG1" s="8" t="s">
        <v>1068</v>
      </c>
      <c r="AH1" s="41" t="s">
        <v>1085</v>
      </c>
      <c r="AI1" s="8" t="s">
        <v>1069</v>
      </c>
      <c r="AJ1" s="8" t="s">
        <v>1070</v>
      </c>
      <c r="AK1" s="41" t="s">
        <v>1086</v>
      </c>
      <c r="AL1" s="8" t="s">
        <v>1071</v>
      </c>
      <c r="AM1" s="26" t="s">
        <v>99</v>
      </c>
      <c r="AN1" s="26" t="s">
        <v>1162</v>
      </c>
      <c r="AO1" s="8" t="s">
        <v>1222</v>
      </c>
      <c r="AP1" s="8" t="s">
        <v>1224</v>
      </c>
      <c r="AQ1" s="8" t="s">
        <v>1225</v>
      </c>
      <c r="AR1" s="8" t="s">
        <v>1226</v>
      </c>
      <c r="AS1" s="8" t="s">
        <v>1227</v>
      </c>
      <c r="AT1" s="8" t="s">
        <v>1228</v>
      </c>
      <c r="AU1" s="8" t="s">
        <v>1229</v>
      </c>
      <c r="AV1" s="8" t="s">
        <v>1230</v>
      </c>
      <c r="AW1" s="8" t="s">
        <v>1231</v>
      </c>
      <c r="AX1" s="8" t="s">
        <v>1232</v>
      </c>
      <c r="AY1" s="8" t="s">
        <v>1233</v>
      </c>
      <c r="AZ1" s="8" t="s">
        <v>1234</v>
      </c>
      <c r="BA1" s="8" t="s">
        <v>1301</v>
      </c>
      <c r="BB1" s="26" t="s">
        <v>1236</v>
      </c>
      <c r="BC1" s="99" t="s">
        <v>1271</v>
      </c>
      <c r="BD1" s="8" t="s">
        <v>1236</v>
      </c>
      <c r="BE1" s="8" t="s">
        <v>1238</v>
      </c>
      <c r="BF1" s="8" t="s">
        <v>1235</v>
      </c>
      <c r="BG1" s="8" t="s">
        <v>1302</v>
      </c>
    </row>
    <row r="2" spans="1:59" s="3" customFormat="1" x14ac:dyDescent="0.2">
      <c r="A2" s="3" t="s">
        <v>209</v>
      </c>
      <c r="B2" s="3" t="str">
        <f>LOWER(VLOOKUP(A2,Xtal_Templ!A:B,2,FALSE))</f>
        <v>oxyr_human</v>
      </c>
      <c r="C2" s="3">
        <f>VLOOKUP($A2,'SegEnds_NonXtal_BW#'!$A:$Z,3,FALSE)+D2-50</f>
        <v>31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105"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206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4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oxyr_human</v>
      </c>
      <c r="C5" s="3">
        <f>VLOOKUP($A5,'SegEnds_NonXtal_BW#'!$A:$Z,3,FALSE)+D5-50</f>
        <v>45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105"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205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307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350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6</v>
      </c>
      <c r="AX5" s="3">
        <f t="shared" si="10"/>
        <v>15</v>
      </c>
      <c r="AY5" s="3">
        <f t="shared" si="11"/>
        <v>7</v>
      </c>
      <c r="AZ5" s="3">
        <f t="shared" si="12"/>
        <v>1</v>
      </c>
      <c r="BA5" s="3">
        <f>IF(ISERROR(LEN(VLOOKUP(A5,Seqs!A:E,2,FALSE))-AL5),"-",LEN(VLOOKUP(A5,Seqs!A:E,2,FALSE))-AL5)</f>
        <v>21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1170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1171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ccr6_human</v>
      </c>
      <c r="C10" s="3">
        <f>VLOOKUP($A10,'SegEnds_NonXtal_BW#'!$A:$Z,3,FALSE)+D10-50</f>
        <v>32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324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26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1436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1447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915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915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101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1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oxyr_human</v>
      </c>
      <c r="C36" s="3">
        <f>VLOOKUP($A36,'SegEnds_NonXtal_BW#'!$A:$Z,3,FALSE)+D36-50</f>
        <v>47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105"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325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8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oxyr_human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105"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194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315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358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6</v>
      </c>
      <c r="AX37" s="3">
        <f t="shared" si="10"/>
        <v>33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66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905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ada2b_human</v>
      </c>
      <c r="C62" s="3">
        <f>VLOOKUP($A62,'SegEnds_NonXtal_BW#'!$A:$Z,3,FALSE)+D62-50</f>
        <v>25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33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404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443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907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fpr2_human</v>
      </c>
      <c r="C89" s="3">
        <f>VLOOKUP($A89,'SegEnds_NonXtal_BW#'!$A:$Z,3,FALSE)+D89-50</f>
        <v>33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69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205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331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14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42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1167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1690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1692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1168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oprk_human</v>
      </c>
      <c r="C113" s="3">
        <f>VLOOKUP($A113,'SegEnds_NonXtal_BW#'!$A:$Z,3,FALSE)+D113-50</f>
        <v>15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85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135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266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307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2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61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ghsr_human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208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8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ccr5_human</v>
      </c>
      <c r="C116" s="3">
        <f>VLOOKUP($A116,'SegEnds_NonXtal_BW#'!$A:$Z,3,FALSE)+D116-50</f>
        <v>23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93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170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470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3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38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aa1r_human</v>
      </c>
      <c r="C117" s="3">
        <f>VLOOKUP($A117,'SegEnds_NonXtal_BW#'!$A:$Z,3,FALSE)+D117-50</f>
        <v>1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143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200</v>
      </c>
      <c r="AD117" s="3">
        <f>IF(ISERROR(VLOOKUP($A117,'SegEnds_NonXtal_BW#'!$A:$Z,21,FALSE)+VLOOKUP($A117,A:AL,31,FALSE)-50),"-",(VLOOKUP($A117,'SegEnds_NonXtal_BW#'!$A:$Z,21,FALSE)+VLOOKUP($A117,A:AL,31,FALSE)-50))</f>
        <v>211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305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4</v>
      </c>
      <c r="AX117" s="3">
        <f t="shared" si="47"/>
        <v>11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30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5ht1b_human</v>
      </c>
      <c r="C119" s="3">
        <f>VLOOKUP($A119,'SegEnds_NonXtal_BW#'!$A:$Z,3,FALSE)+D119-50</f>
        <v>45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186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237</v>
      </c>
      <c r="AD119" s="3">
        <f>IF(ISERROR(VLOOKUP($A119,'SegEnds_NonXtal_BW#'!$A:$Z,21,FALSE)+VLOOKUP($A119,A:AL,31,FALSE)-50),"-",(VLOOKUP($A119,'SegEnds_NonXtal_BW#'!$A:$Z,21,FALSE)+VLOOKUP($A119,A:AL,31,FALSE)-50))</f>
        <v>253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328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16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19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5ht2a_human</v>
      </c>
      <c r="C121" s="3">
        <f>VLOOKUP($A121,'SegEnds_NonXtal_BW#'!$A:$Z,3,FALSE)+D121-50</f>
        <v>2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313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296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5ht2a_human</v>
      </c>
      <c r="C125" s="3">
        <f>VLOOKUP($A125,'SegEnds_NonXtal_BW#'!$A:$Z,3,FALSE)+D125-50</f>
        <v>17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86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136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165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259</v>
      </c>
      <c r="AD125" s="3">
        <f>IF(ISERROR(VLOOKUP($A125,'SegEnds_NonXtal_BW#'!$A:$Z,21,FALSE)+VLOOKUP($A125,A:AL,31,FALSE)-50),"-",(VLOOKUP($A125,'SegEnds_NonXtal_BW#'!$A:$Z,21,FALSE)+VLOOKUP($A125,A:AL,31,FALSE)-50))</f>
        <v>272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357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9</v>
      </c>
      <c r="AW125" s="3">
        <f t="shared" si="46"/>
        <v>44</v>
      </c>
      <c r="AX125" s="3">
        <f t="shared" si="47"/>
        <v>13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oprk_human</v>
      </c>
      <c r="C127" s="3">
        <f>VLOOKUP($A127,'SegEnds_NonXtal_BW#'!$A:$Z,3,FALSE)+D127-50</f>
        <v>29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94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144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324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37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cltr2_human</v>
      </c>
      <c r="C128" s="3">
        <f>VLOOKUP($A128,'SegEnds_NonXtal_BW#'!$A:$Z,3,FALSE)+D128-50</f>
        <v>52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170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195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341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10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34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lpar1_human</v>
      </c>
      <c r="C130" s="3">
        <f>VLOOKUP($A130,'SegEnds_NonXtal_BW#'!$A:$Z,3,FALSE)+D130-50</f>
        <v>42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178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317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17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ccr6_human</v>
      </c>
      <c r="C131" s="3">
        <f>VLOOKUP($A131,'SegEnds_NonXtal_BW#'!$A:$Z,3,FALSE)+D131-50</f>
        <v>26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96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144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188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321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2</v>
      </c>
      <c r="AV131" s="3">
        <f t="shared" si="45"/>
        <v>11</v>
      </c>
      <c r="AW131" s="3">
        <f t="shared" si="46"/>
        <v>3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39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ccr7_human</v>
      </c>
      <c r="C133" s="3">
        <f>VLOOKUP($A133,'SegEnds_NonXtal_BW#'!$A:$Z,3,FALSE)+D133-50</f>
        <v>19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182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302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8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29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par2_human</v>
      </c>
      <c r="C134" s="3">
        <f>VLOOKUP($A134,'SegEnds_NonXtal_BW#'!$A:$Z,3,FALSE)+D134-50</f>
        <v>49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115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187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275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315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8</v>
      </c>
      <c r="AZ134" s="3">
        <f t="shared" si="114"/>
        <v>1</v>
      </c>
      <c r="BA134" s="3">
        <f>IF(ISERROR(LEN(VLOOKUP(A134,Seqs!A:E,2,FALSE))-AL134),"-",LEN(VLOOKUP(A134,Seqs!A:E,2,FALSE))-AL134)</f>
        <v>43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226</v>
      </c>
      <c r="AD135" s="3">
        <f>IF(ISERROR(VLOOKUP($A135,'SegEnds_NonXtal_BW#'!$A:$Z,21,FALSE)+VLOOKUP($A135,A:AL,31,FALSE)-50),"-",(VLOOKUP($A135,'SegEnds_NonXtal_BW#'!$A:$Z,21,FALSE)+VLOOKUP($A135,A:AL,31,FALSE)-50))</f>
        <v>238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12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mtr1a_human</v>
      </c>
      <c r="C139" s="3">
        <f>VLOOKUP($A139,'SegEnds_NonXtal_BW#'!$A:$Z,3,FALSE)+D139-50</f>
        <v>10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78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127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174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302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1</v>
      </c>
      <c r="AS139" s="3">
        <f t="shared" si="107"/>
        <v>1</v>
      </c>
      <c r="AT139" s="3">
        <f t="shared" si="108"/>
        <v>1</v>
      </c>
      <c r="AU139" s="3">
        <f t="shared" si="109"/>
        <v>1</v>
      </c>
      <c r="AV139" s="3">
        <f t="shared" si="110"/>
        <v>9</v>
      </c>
      <c r="AW139" s="3">
        <f t="shared" si="111"/>
        <v>10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17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ptafr_human</v>
      </c>
      <c r="C142" s="3">
        <f>VLOOKUP($A142,'SegEnds_NonXtal_BW#'!$A:$Z,3,FALSE)+D142-50</f>
        <v>49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83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213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333</v>
      </c>
      <c r="AJ142" s="3">
        <f>IF(ISERROR(VLOOKUP($A142,'SegEnds_NonXtal_BW#'!$A:$Z,25,FALSE)+VLOOKUP($A142,A:AL,37,FALSE)-50),"-",(VLOOKUP($A142,'SegEnds_NonXtal_BW#'!$A:$Z,25,FALSE)+VLOOKUP($A142,A:AL,37,FALSE)-50))</f>
        <v>334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347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7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34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ccr6_human</v>
      </c>
      <c r="C143" s="3">
        <f>VLOOKUP($A143,'SegEnds_NonXtal_BW#'!$A:$Z,3,FALSE)+D143-50</f>
        <v>13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295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14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257</v>
      </c>
      <c r="AD145" s="3">
        <f>IF(ISERROR(VLOOKUP($A145,'SegEnds_NonXtal_BW#'!$A:$Z,21,FALSE)+VLOOKUP($A145,A:AL,31,FALSE)-50),"-",(VLOOKUP($A145,'SegEnds_NonXtal_BW#'!$A:$Z,21,FALSE)+VLOOKUP($A145,A:AL,31,FALSE)-50))</f>
        <v>272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15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238</v>
      </c>
      <c r="AD148" s="3">
        <f>IF(ISERROR(VLOOKUP($A148,'SegEnds_NonXtal_BW#'!$A:$Z,21,FALSE)+VLOOKUP($A148,A:AL,31,FALSE)-50),"-",(VLOOKUP($A148,'SegEnds_NonXtal_BW#'!$A:$Z,21,FALSE)+VLOOKUP($A148,A:AL,31,FALSE)-50))</f>
        <v>251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13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oprk_human</v>
      </c>
      <c r="C149" s="3">
        <f>VLOOKUP($A149,'SegEnds_NonXtal_BW#'!$A:$Z,3,FALSE)+D149-50</f>
        <v>18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86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304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15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s1pr1_human</v>
      </c>
      <c r="C150" s="3">
        <f>VLOOKUP($A150,'SegEnds_NonXtal_BW#'!$A:$Z,3,FALSE)+D150-50</f>
        <v>69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206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345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17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ox2r_human</v>
      </c>
      <c r="C151" s="3">
        <f>VLOOKUP($A151,'SegEnds_NonXtal_BW#'!$A:$Z,3,FALSE)+D151-50</f>
        <v>41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181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361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14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90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oprd_human</v>
      </c>
      <c r="C153" s="3">
        <f>VLOOKUP($A153,'SegEnds_NonXtal_BW#'!$A:$Z,3,FALSE)+D153-50</f>
        <v>5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193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326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10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ednrb_human</v>
      </c>
      <c r="C154" s="3">
        <f>VLOOKUP($A154,'SegEnds_NonXtal_BW#'!$A:$Z,3,FALSE)+D154-50</f>
        <v>10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159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213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9</v>
      </c>
      <c r="AW154" s="3">
        <f t="shared" si="111"/>
        <v>43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259</v>
      </c>
      <c r="AD155" s="3">
        <f>IF(ISERROR(VLOOKUP($A155,'SegEnds_NonXtal_BW#'!$A:$Z,21,FALSE)+VLOOKUP($A155,A:AL,31,FALSE)-50),"-",(VLOOKUP($A155,'SegEnds_NonXtal_BW#'!$A:$Z,21,FALSE)+VLOOKUP($A155,A:AL,31,FALSE)-50))</f>
        <v>274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15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3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11</v>
      </c>
      <c r="AW160" s="3">
        <f t="shared" si="111"/>
        <v>3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53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p2ry1_human</v>
      </c>
      <c r="C161" s="3">
        <f>VLOOKUP($A161,'SegEnds_NonXtal_BW#'!$A:$Z,3,FALSE)+D161-50</f>
        <v>25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89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182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310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3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3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77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240</v>
      </c>
      <c r="AD164" s="3">
        <f>IF(ISERROR(VLOOKUP($A164,'SegEnds_NonXtal_BW#'!$A:$Z,21,FALSE)+VLOOKUP($A164,A:AL,31,FALSE)-50),"-",(VLOOKUP($A164,'SegEnds_NonXtal_BW#'!$A:$Z,21,FALSE)+VLOOKUP($A164,A:AL,31,FALSE)-50))</f>
        <v>249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9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cltr2_human</v>
      </c>
      <c r="C169" s="3">
        <f>VLOOKUP($A169,'SegEnds_NonXtal_BW#'!$A:$Z,3,FALSE)+D169-50</f>
        <v>15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159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185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314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16</v>
      </c>
      <c r="AW169" s="3">
        <f t="shared" si="111"/>
        <v>8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58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agtr1_human</v>
      </c>
      <c r="C174" s="3">
        <f>VLOOKUP($A174,'SegEnds_NonXtal_BW#'!$A:$Z,3,FALSE)+D174-50</f>
        <v>28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185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298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27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ccr9_human</v>
      </c>
      <c r="C175" s="3">
        <f>VLOOKUP($A175,'SegEnds_NonXtal_BW#'!$A:$Z,3,FALSE)+D175-50</f>
        <v>70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220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338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40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96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189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2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3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c5ar1_human</v>
      </c>
      <c r="C181" s="3">
        <f>VLOOKUP($A181,'SegEnds_NonXtal_BW#'!$A:$Z,3,FALSE)+D181-50</f>
        <v>24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289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32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cxcr4_human</v>
      </c>
      <c r="C182" s="3">
        <f>VLOOKUP($A182,'SegEnds_NonXtal_BW#'!$A:$Z,3,FALSE)+D182-50</f>
        <v>16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172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285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27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agtr1_human</v>
      </c>
      <c r="C184" s="3">
        <f>VLOOKUP($A184,'SegEnds_NonXtal_BW#'!$A:$Z,3,FALSE)+D184-50</f>
        <v>8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156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268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21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par2_human</v>
      </c>
      <c r="C188" s="3">
        <f>VLOOKUP($A188,'SegEnds_NonXtal_BW#'!$A:$Z,3,FALSE)+D188-50</f>
        <v>23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159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250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290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8</v>
      </c>
      <c r="AZ188" s="3">
        <f t="shared" si="114"/>
        <v>1</v>
      </c>
      <c r="BA188" s="3">
        <f>IF(ISERROR(LEN(VLOOKUP(A188,Seqs!A:E,2,FALSE))-AL188),"-",LEN(VLOOKUP(A188,Seqs!A:E,2,FALSE))-AL188)</f>
        <v>32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ghsr_human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243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330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6</v>
      </c>
      <c r="AX190" s="3">
        <f t="shared" si="112"/>
        <v>6</v>
      </c>
      <c r="AY190" s="3">
        <f t="shared" si="113"/>
        <v>6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ghsr_human</v>
      </c>
      <c r="C195" s="3">
        <f>VLOOKUP($A195,'SegEnds_NonXtal_BW#'!$A:$Z,3,FALSE)+D195-50</f>
        <v>56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227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6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ghsr_human</v>
      </c>
      <c r="C196" s="3">
        <f>VLOOKUP($A196,'SegEnds_NonXtal_BW#'!$A:$Z,3,FALSE)+D196-50</f>
        <v>41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212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6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909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ptafr_human</v>
      </c>
      <c r="C200" s="3">
        <f>VLOOKUP($A200,'SegEnds_NonXtal_BW#'!$A:$Z,3,FALSE)+D200-50</f>
        <v>16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84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159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180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292</v>
      </c>
      <c r="AJ200" s="3">
        <f>IF(ISERROR(VLOOKUP($A200,'SegEnds_NonXtal_BW#'!$A:$Z,25,FALSE)+VLOOKUP($A200,A:AL,37,FALSE)-50),"-",(VLOOKUP($A200,'SegEnds_NonXtal_BW#'!$A:$Z,25,FALSE)+VLOOKUP($A200,A:AL,37,FALSE)-50))</f>
        <v>293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306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2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13</v>
      </c>
      <c r="AW200" s="3">
        <f t="shared" si="148"/>
        <v>6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59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915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271</v>
      </c>
      <c r="AD201" s="3">
        <f>IF(ISERROR(VLOOKUP($A201,'SegEnds_NonXtal_BW#'!$A:$Z,21,FALSE)+VLOOKUP($A201,A:AL,31,FALSE)-50),"-",(VLOOKUP($A201,'SegEnds_NonXtal_BW#'!$A:$Z,21,FALSE)+VLOOKUP($A201,A:AL,31,FALSE)-50))</f>
        <v>282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11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112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205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1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5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911</v>
      </c>
      <c r="B203" s="3" t="str">
        <f>LOWER(VLOOKUP(A203,Xtal_Templ!A:B,2,FALSE))</f>
        <v>oprd_mouse</v>
      </c>
      <c r="C203" s="3">
        <f>VLOOKUP($A203,'SegEnds_NonXtal_BW#'!$A:$Z,3,FALSE)+D203-50</f>
        <v>41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112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205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1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5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122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1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133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226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1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5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913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131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224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1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5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1169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114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207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1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5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917</v>
      </c>
      <c r="B208" s="3" t="str">
        <f>LOWER(VLOOKUP(A208,Xtal_Templ!A:B,2,FALSE))</f>
        <v>opsd_todpa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99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147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194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330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1</v>
      </c>
      <c r="AS208" s="3">
        <f t="shared" si="144"/>
        <v>1</v>
      </c>
      <c r="AT208" s="3">
        <f t="shared" si="145"/>
        <v>1</v>
      </c>
      <c r="AU208" s="3">
        <f t="shared" si="146"/>
        <v>1</v>
      </c>
      <c r="AV208" s="3">
        <f t="shared" si="147"/>
        <v>14</v>
      </c>
      <c r="AW208" s="3">
        <f t="shared" si="148"/>
        <v>6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118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1303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238</v>
      </c>
      <c r="AD222" s="3">
        <f>IF(ISERROR(VLOOKUP($A222,'SegEnds_NonXtal_BW#'!$A:$Z,21,FALSE)+VLOOKUP($A222,A:AL,31,FALSE)-50),"-",(VLOOKUP($A222,'SegEnds_NonXtal_BW#'!$A:$Z,21,FALSE)+VLOOKUP($A222,A:AL,31,FALSE)-50))</f>
        <v>254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16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ptafr_human</v>
      </c>
      <c r="C230" s="3">
        <f>VLOOKUP($A230,'SegEnds_NonXtal_BW#'!$A:$Z,3,FALSE)+D230-50</f>
        <v>9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77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127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152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310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2</v>
      </c>
      <c r="AS230" s="3">
        <f t="shared" si="144"/>
        <v>1</v>
      </c>
      <c r="AT230" s="3">
        <f t="shared" si="145"/>
        <v>1</v>
      </c>
      <c r="AU230" s="3">
        <f t="shared" si="146"/>
        <v>1</v>
      </c>
      <c r="AV230" s="3">
        <f t="shared" si="147"/>
        <v>18</v>
      </c>
      <c r="AW230" s="3">
        <f t="shared" si="148"/>
        <v>6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27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250</v>
      </c>
      <c r="AD232" s="3">
        <f>IF(ISERROR(VLOOKUP($A232,'SegEnds_NonXtal_BW#'!$A:$Z,21,FALSE)+VLOOKUP($A232,A:AL,31,FALSE)-50),"-",(VLOOKUP($A232,'SegEnds_NonXtal_BW#'!$A:$Z,21,FALSE)+VLOOKUP($A232,A:AL,31,FALSE)-50))</f>
        <v>259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9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oprd_human</v>
      </c>
      <c r="C233" s="3">
        <f>VLOOKUP($A233,'SegEnds_NonXtal_BW#'!$A:$Z,3,FALSE)+D233-50</f>
        <v>29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326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48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oprk_human</v>
      </c>
      <c r="C238" s="3">
        <f>VLOOKUP($A238,'SegEnds_NonXtal_BW#'!$A:$Z,3,FALSE)+D238-50</f>
        <v>45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203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327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3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61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oprd_human</v>
      </c>
      <c r="C239" s="3">
        <f>VLOOKUP($A239,'SegEnds_NonXtal_BW#'!$A:$Z,3,FALSE)+D239-50</f>
        <v>30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321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43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1593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226</v>
      </c>
      <c r="AD243" s="3">
        <f>IF(ISERROR(VLOOKUP($A243,'SegEnds_NonXtal_BW#'!$A:$Z,21,FALSE)+VLOOKUP($A243,A:AL,31,FALSE)-50),"-",(VLOOKUP($A243,'SegEnds_NonXtal_BW#'!$A:$Z,21,FALSE)+VLOOKUP($A243,A:AL,31,FALSE)-50))</f>
        <v>237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11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drd2_human</v>
      </c>
      <c r="C245" s="3">
        <f>VLOOKUP($A245,'SegEnds_NonXtal_BW#'!$A:$Z,3,FALSE)+D245-50</f>
        <v>28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242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9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11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232</v>
      </c>
      <c r="AD248" s="3">
        <f>IF(ISERROR(VLOOKUP($A248,'SegEnds_NonXtal_BW#'!$A:$Z,21,FALSE)+VLOOKUP($A248,A:AL,31,FALSE)-50),"-",(VLOOKUP($A248,'SegEnds_NonXtal_BW#'!$A:$Z,21,FALSE)+VLOOKUP($A248,A:AL,31,FALSE)-50))</f>
        <v>243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11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233</v>
      </c>
      <c r="AD249" s="3">
        <f>IF(ISERROR(VLOOKUP($A249,'SegEnds_NonXtal_BW#'!$A:$Z,21,FALSE)+VLOOKUP($A249,A:AL,31,FALSE)-50),"-",(VLOOKUP($A249,'SegEnds_NonXtal_BW#'!$A:$Z,21,FALSE)+VLOOKUP($A249,A:AL,31,FALSE)-50))</f>
        <v>244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11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88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183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2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2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oxyr_human</v>
      </c>
      <c r="C252" s="3">
        <f>VLOOKUP($A252,'SegEnds_NonXtal_BW#'!$A:$Z,3,FALSE)+D252-50</f>
        <v>33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105"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200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345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6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26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ccr5_human</v>
      </c>
      <c r="C253" s="3">
        <f>VLOOKUP($A253,'SegEnds_NonXtal_BW#'!$A:$Z,3,FALSE)+D253-50</f>
        <v>23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220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303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5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30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hrh1_human</v>
      </c>
      <c r="C257" s="3">
        <f>VLOOKUP($A257,'SegEnds_NonXtal_BW#'!$A:$Z,3,FALSE)+D257-50</f>
        <v>36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97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2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5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258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5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249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5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ccr9_human</v>
      </c>
      <c r="C263" s="3">
        <f>VLOOKUP($A263,'SegEnds_NonXtal_BW#'!$A:$Z,3,FALSE)+D263-50</f>
        <v>26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140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186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226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312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4</v>
      </c>
      <c r="AV263" s="3">
        <f t="shared" si="202"/>
        <v>10</v>
      </c>
      <c r="AW263" s="3">
        <f t="shared" si="203"/>
        <v>4</v>
      </c>
      <c r="AX263" s="3">
        <f t="shared" si="204"/>
        <v>5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30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fpr2_human</v>
      </c>
      <c r="C265" s="3">
        <f>VLOOKUP($A265,'SegEnds_NonXtal_BW#'!$A:$Z,3,FALSE)+D265-50</f>
        <v>51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87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319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17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ccr7_human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157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207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247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331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9</v>
      </c>
      <c r="AX266" s="3">
        <f t="shared" si="204"/>
        <v>5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31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235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5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5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par2_human</v>
      </c>
      <c r="C269" s="3">
        <f>VLOOKUP($A269,'SegEnds_NonXtal_BW#'!$A:$Z,3,FALSE)+D269-50</f>
        <v>38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179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192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326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7</v>
      </c>
      <c r="AW269" s="3">
        <f t="shared" si="203"/>
        <v>4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54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oxyr_human</v>
      </c>
      <c r="C273" s="3">
        <f>VLOOKUP($A273,'SegEnds_NonXtal_BW#'!$A:$Z,3,FALSE)+D273-50</f>
        <v>38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110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157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183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227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268</v>
      </c>
      <c r="AD273" s="3">
        <f>IF(ISERROR(VLOOKUP($A273,'SegEnds_NonXtal_BW#'!$A:$Z,21,FALSE)+VLOOKUP($A273,A:AL,31,FALSE)-50),"-",(VLOOKUP($A273,'SegEnds_NonXtal_BW#'!$A:$Z,21,FALSE)+VLOOKUP($A273,A:AL,31,FALSE)-50))</f>
        <v>281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329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372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34</v>
      </c>
      <c r="AW273" s="3">
        <f t="shared" si="203"/>
        <v>8</v>
      </c>
      <c r="AX273" s="3">
        <f t="shared" si="204"/>
        <v>13</v>
      </c>
      <c r="AY273" s="3">
        <f t="shared" si="205"/>
        <v>8</v>
      </c>
      <c r="AZ273" s="3">
        <f t="shared" si="206"/>
        <v>1</v>
      </c>
      <c r="BA273" s="3">
        <f>IF(ISERROR(LEN(VLOOKUP(A273,Seqs!A:E,2,FALSE))-AL273),"-",LEN(VLOOKUP(A273,Seqs!A:E,2,FALSE))-AL273)</f>
        <v>62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p2y12_human</v>
      </c>
      <c r="C274" s="3">
        <f>VLOOKUP($A274,'SegEnds_NonXtal_BW#'!$A:$Z,3,FALSE)+D274-50</f>
        <v>17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306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32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ox1r_human</v>
      </c>
      <c r="C275" s="3">
        <f>VLOOKUP($A275,'SegEnds_NonXtal_BW#'!$A:$Z,3,FALSE)+D275-50</f>
        <v>41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241</v>
      </c>
      <c r="AD275" s="3">
        <f>IF(ISERROR(VLOOKUP($A275,'SegEnds_NonXtal_BW#'!$A:$Z,21,FALSE)+VLOOKUP($A275,A:AL,31,FALSE)-50),"-",(VLOOKUP($A275,'SegEnds_NonXtal_BW#'!$A:$Z,21,FALSE)+VLOOKUP($A275,A:AL,31,FALSE)-50))</f>
        <v>252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11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lpar1_human</v>
      </c>
      <c r="C276" s="3">
        <f>VLOOKUP($A276,'SegEnds_NonXtal_BW#'!$A:$Z,3,FALSE)+D276-50</f>
        <v>12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77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84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120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161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200</v>
      </c>
      <c r="AD276" s="3">
        <f>IF(ISERROR(VLOOKUP($A276,'SegEnds_NonXtal_BW#'!$A:$Z,21,FALSE)+VLOOKUP($A276,A:AL,31,FALSE)-50),"-",(VLOOKUP($A276,'SegEnds_NonXtal_BW#'!$A:$Z,21,FALSE)+VLOOKUP($A276,A:AL,31,FALSE)-50))</f>
        <v>210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250</v>
      </c>
      <c r="AG276" s="3">
        <f>IF(ISERROR(VLOOKUP($A276,'SegEnds_NonXtal_BW#'!$A:$Z,23,FALSE)+VLOOKUP($A276,A:AL,34,FALSE)-50),"-",(VLOOKUP($A276,'SegEnds_NonXtal_BW#'!$A:$Z,23,FALSE)+VLOOKUP($A276,A:AL,34,FALSE)-50))</f>
        <v>257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NoXtal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4</v>
      </c>
      <c r="AX276" s="3">
        <f t="shared" si="204"/>
        <v>10</v>
      </c>
      <c r="AY276" s="3">
        <f t="shared" si="205"/>
        <v>7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ccr6_human</v>
      </c>
      <c r="C277" s="3">
        <f>VLOOKUP($A277,'SegEnds_NonXtal_BW#'!$A:$Z,3,FALSE)+D277-50</f>
        <v>27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97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295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343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2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12</v>
      </c>
      <c r="AW277" s="3">
        <f t="shared" si="203"/>
        <v>8</v>
      </c>
      <c r="AX277" s="3">
        <f t="shared" si="204"/>
        <v>23</v>
      </c>
      <c r="AY277" s="3">
        <f t="shared" si="205"/>
        <v>2</v>
      </c>
      <c r="AZ277" s="3">
        <f t="shared" si="206"/>
        <v>1</v>
      </c>
      <c r="BA277" s="3">
        <f>IF(ISERROR(LEN(VLOOKUP(A277,Seqs!A:E,2,FALSE))-AL277),"-",LEN(VLOOKUP(A277,Seqs!A:E,2,FALSE))-AL277)</f>
        <v>29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drd3_human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75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125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150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306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12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62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drd2_human</v>
      </c>
      <c r="C279" s="3">
        <f>VLOOKUP($A279,'SegEnds_NonXtal_BW#'!$A:$Z,3,FALSE)+D279-50</f>
        <v>78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215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349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387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14</v>
      </c>
      <c r="AW279" s="3">
        <f t="shared" si="203"/>
        <v>8</v>
      </c>
      <c r="AX279" s="3">
        <f t="shared" si="204"/>
        <v>23</v>
      </c>
      <c r="AY279" s="3">
        <f t="shared" si="205"/>
        <v>9</v>
      </c>
      <c r="AZ279" s="3">
        <f t="shared" si="206"/>
        <v>1</v>
      </c>
      <c r="BA279" s="3">
        <f>IF(ISERROR(LEN(VLOOKUP(A279,Seqs!A:E,2,FALSE))-AL279),"-",LEN(VLOOKUP(A279,Seqs!A:E,2,FALSE))-AL279)</f>
        <v>32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ccr9_human</v>
      </c>
      <c r="C280" s="3">
        <f>VLOOKUP($A280,'SegEnds_NonXtal_BW#'!$A:$Z,3,FALSE)+D280-50</f>
        <v>37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154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197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400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6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140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oprd_human</v>
      </c>
      <c r="C285" s="3">
        <f>VLOOKUP($A285,'SegEnds_NonXtal_BW#'!$A:$Z,3,FALSE)+D285-50</f>
        <v>27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324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4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oprd_human</v>
      </c>
      <c r="C286" s="3">
        <f>VLOOKUP($A286,'SegEnds_NonXtal_BW#'!$A:$Z,3,FALSE)+D286-50</f>
        <v>35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204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5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ox1r_human</v>
      </c>
      <c r="C290" s="3">
        <f>VLOOKUP($A290,'SegEnds_NonXtal_BW#'!$A:$Z,3,FALSE)+D290-50</f>
        <v>50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214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299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345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9</v>
      </c>
      <c r="AX290" s="3">
        <f t="shared" si="204"/>
        <v>3</v>
      </c>
      <c r="AY290" s="3">
        <f t="shared" si="205"/>
        <v>5</v>
      </c>
      <c r="AZ290" s="3">
        <f t="shared" si="206"/>
        <v>1</v>
      </c>
      <c r="BA290" s="3">
        <f>IF(ISERROR(LEN(VLOOKUP(A290,Seqs!A:E,2,FALSE))-AL290),"-",LEN(VLOOKUP(A290,Seqs!A:E,2,FALSE))-AL290)</f>
        <v>36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1302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105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1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oxyr_human</v>
      </c>
      <c r="C295" s="3">
        <f>VLOOKUP($A295,'SegEnds_NonXtal_BW#'!$A:$Z,3,FALSE)+D295-50</f>
        <v>35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102</v>
      </c>
      <c r="L295" s="3">
        <f t="shared" si="217"/>
        <v>104</v>
      </c>
      <c r="M295" s="105">
        <v>105</v>
      </c>
      <c r="N295" s="3">
        <f t="shared" si="218"/>
        <v>107</v>
      </c>
      <c r="O295" s="3">
        <f t="shared" si="219"/>
        <v>108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300</v>
      </c>
      <c r="AG295" s="3">
        <f>IF(ISERROR(VLOOKUP($A295,'SegEnds_NonXtal_BW#'!$A:$Z,23,FALSE)+VLOOKUP($A295,A:AL,34,FALSE)-50),"-",(VLOOKUP($A295,'SegEnds_NonXtal_BW#'!$A:$Z,23,FALSE)+VLOOKUP($A295,A:AL,34,FALSE)-50))</f>
        <v>306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Xtal</v>
      </c>
      <c r="AP295" s="3">
        <f t="shared" si="196"/>
        <v>1</v>
      </c>
      <c r="AQ295" s="3">
        <f t="shared" si="197"/>
        <v>1</v>
      </c>
      <c r="AR295" s="3">
        <f t="shared" si="198"/>
        <v>2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npy1r_human</v>
      </c>
      <c r="C296" s="3">
        <f>VLOOKUP($A296,'SegEnds_NonXtal_BW#'!$A:$Z,3,FALSE)+D296-50</f>
        <v>58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225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6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npy1r_human</v>
      </c>
      <c r="C297" s="3">
        <f>VLOOKUP($A297,'SegEnds_NonXtal_BW#'!$A:$Z,3,FALSE)+D297-50</f>
        <v>49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216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6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303</v>
      </c>
      <c r="AD298" s="3">
        <f>IF(ISERROR(VLOOKUP($A298,'SegEnds_NonXtal_BW#'!$A:$Z,21,FALSE)+VLOOKUP($A298,A:AL,31,FALSE)-50),"-",(VLOOKUP($A298,'SegEnds_NonXtal_BW#'!$A:$Z,21,FALSE)+VLOOKUP($A298,A:AL,31,FALSE)-50))</f>
        <v>312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9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919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1503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1633</v>
      </c>
      <c r="B301" s="3" t="str">
        <f>LOWER(VLOOKUP(A301,Xtal_Templ!A:B,2,FALSE))</f>
        <v>ada2b_human</v>
      </c>
      <c r="C301" s="3">
        <f>VLOOKUP($A301,'SegEnds_NonXtal_BW#'!$A:$Z,3,FALSE)+D301-50</f>
        <v>23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304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1636</v>
      </c>
      <c r="B302" s="3" t="str">
        <f>LOWER(VLOOKUP(A302,Xtal_Templ!A:B,2,FALSE))</f>
        <v>ccr2_human</v>
      </c>
      <c r="C302" s="3">
        <f>VLOOKUP($A302,'SegEnds_NonXtal_BW#'!$A:$Z,3,FALSE)+D302-50</f>
        <v>19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136</v>
      </c>
      <c r="U302" s="9">
        <f>IF(ISERROR(VLOOKUP($A302,'SegEnds_NonXtal_BW#'!$A:$Z,15,FALSE)+VLOOKUP($A302,A:AL,22,FALSE)-50),"-",VLOOKUP($A302,'SegEnds_NonXtal_BW#'!$A:$Z,15,FALSE)+VLOOKUP($A302,A:AL,22,FALSE)-50)</f>
        <v>137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305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8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1638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1416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pacr_human</v>
      </c>
      <c r="C309" s="3">
        <f>VLOOKUP($A309,'SegEnds_NonXtal_BW#'!$A:$Z,3,FALSE)+D309-50</f>
        <v>115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240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359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8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337</v>
      </c>
      <c r="AD311" s="3">
        <f>IF(ISERROR(VLOOKUP($A311,'SegEnds_NonXtal_BW#'!$A:$Z,21,FALSE)+VLOOKUP($A311,A:AL,31,FALSE)-50),"-",(VLOOKUP($A311,'SegEnds_NonXtal_BW#'!$A:$Z,21,FALSE)+VLOOKUP($A311,A:AL,31,FALSE)-50))</f>
        <v>344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369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7</v>
      </c>
      <c r="AY311" s="3">
        <f t="shared" si="205"/>
        <v>8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403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8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367</v>
      </c>
      <c r="AG313" s="3">
        <f>IF(ISERROR(VLOOKUP($A313,'SegEnds_NonXtal_BW#'!$A:$Z,23,FALSE)+VLOOKUP($A313,A:AL,34,FALSE)-50),"-",(VLOOKUP($A313,'SegEnds_NonXtal_BW#'!$A:$Z,23,FALSE)+VLOOKUP($A313,A:AL,34,FALSE)-50))</f>
        <v>374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7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sctr_human</v>
      </c>
      <c r="C317" s="3">
        <f>VLOOKUP($A317,'SegEnds_NonXtal_BW#'!$A:$Z,3,FALSE)+D317-50</f>
        <v>131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326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365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6</v>
      </c>
      <c r="AY317" s="3">
        <f t="shared" si="205"/>
        <v>4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sctr_human</v>
      </c>
      <c r="C318" s="3">
        <f>VLOOKUP($A318,'SegEnds_NonXtal_BW#'!$A:$Z,3,FALSE)+D318-50</f>
        <v>131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253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NoXtal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pacr_human</v>
      </c>
      <c r="C319" s="3">
        <f>VLOOKUP($A319,'SegEnds_NonXtal_BW#'!$A:$Z,3,FALSE)+D319-50</f>
        <v>112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239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1172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1173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1174</v>
      </c>
      <c r="B322" s="3" t="str">
        <f>LOWER(VLOOKUP(A322,Xtal_Templ!A:B,2,FALSE))</f>
        <v>sctr_human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872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1016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6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1175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1176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1177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1178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1179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1180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750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6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1181</v>
      </c>
      <c r="B329" s="3" t="str">
        <f>LOWER(VLOOKUP(A329,Xtal_Templ!A:B,2,FALSE))</f>
        <v>sctr_human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571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5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1182</v>
      </c>
      <c r="B330" s="3" t="str">
        <f>LOWER(VLOOKUP(A330,Xtal_Templ!A:B,2,FALSE))</f>
        <v>sctr_human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296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404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5" si="228">IF(ISERROR(F330-E330),"-",F330-E330)</f>
        <v>1</v>
      </c>
      <c r="AQ330" s="3">
        <f t="shared" ref="AQ330:AQ395" si="229">IF(ISERROR(I330-H330),"-",I330-H330)</f>
        <v>1</v>
      </c>
      <c r="AR330" s="3" t="str">
        <f t="shared" ref="AR330:AR395" si="230">IF(ISERROR(L330-K330),"-",L330-K330)</f>
        <v>-</v>
      </c>
      <c r="AS330" s="3" t="str">
        <f t="shared" ref="AS330:AS395" si="231">IF(ISERROR(O330-N330),"-",O330-N330)</f>
        <v>-</v>
      </c>
      <c r="AT330" s="3" t="str">
        <f t="shared" ref="AT330:AT395" si="232">IF(ISERROR(R330-Q330),"-",R330-Q330)</f>
        <v>-</v>
      </c>
      <c r="AU330" s="3" t="str">
        <f t="shared" ref="AU330:AU395" si="233">IF(ISERROR(U330-T330),"-",U330-T330)</f>
        <v>-</v>
      </c>
      <c r="AV330" s="3">
        <f t="shared" ref="AV330:AV395" si="234">IF(ISERROR(X330-W330),"-",X330-W330)</f>
        <v>5</v>
      </c>
      <c r="AW330" s="3">
        <f t="shared" ref="AW330:AW395" si="235">IF(ISERROR(AA330-Z330),"-",AA330-Z330)</f>
        <v>3</v>
      </c>
      <c r="AX330" s="3">
        <f t="shared" ref="AX330:AX395" si="236">IF(ISERROR(AD330-AC330),"-",AD330-AC330)</f>
        <v>12</v>
      </c>
      <c r="AY330" s="3">
        <f t="shared" ref="AY330:AY395" si="237">IF(ISERROR(AG330-AF330),"-",AG330-AF330)</f>
        <v>6</v>
      </c>
      <c r="AZ330" s="3">
        <f t="shared" ref="AZ330:AZ395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5" si="239">J330-D330</f>
        <v>28</v>
      </c>
      <c r="BC330" s="9" t="str">
        <f t="shared" ref="BC330:BC395" si="240">IF(ISERROR(V330-S330),"-",V330-S330)</f>
        <v>-</v>
      </c>
      <c r="BD330" s="3">
        <f t="shared" ref="BD330:BD395" si="241">J330-D330</f>
        <v>28</v>
      </c>
      <c r="BE330" s="3">
        <f t="shared" ref="BE330:BE395" si="242">AE330-AB330</f>
        <v>52</v>
      </c>
      <c r="BF330" s="3">
        <f>AH330-AE330</f>
        <v>32</v>
      </c>
    </row>
    <row r="331" spans="1:59" s="3" customFormat="1" x14ac:dyDescent="0.2">
      <c r="A331" s="3" t="s">
        <v>1183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6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1184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1302</v>
      </c>
    </row>
    <row r="333" spans="1:59" s="3" customFormat="1" x14ac:dyDescent="0.2">
      <c r="A333" s="3" t="s">
        <v>1185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1186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1187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1188</v>
      </c>
      <c r="B336" s="3" t="str">
        <f>LOWER(VLOOKUP(A336,Xtal_Templ!A:B,2,FALSE))</f>
        <v>glr_human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628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5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1189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1190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1191</v>
      </c>
      <c r="B339" s="3" t="str">
        <f>LOWER(VLOOKUP(A339,Xtal_Templ!A:B,2,FALSE))</f>
        <v>pth1r_human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2845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2959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5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1192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1409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1193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1194</v>
      </c>
      <c r="B343" s="3" t="str">
        <f>LOWER(VLOOKUP(A343,Xtal_Templ!A:B,2,FALSE))</f>
        <v>sctr_human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961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1070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5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1195</v>
      </c>
      <c r="B344" s="3" t="str">
        <f>LOWER(VLOOKUP(A344,Xtal_Templ!A:B,2,FALSE))</f>
        <v>sctr_human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948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1057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5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1196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1197</v>
      </c>
      <c r="B346" s="3" t="str">
        <f>LOWER(VLOOKUP(A346,Xtal_Templ!A:B,2,FALSE))</f>
        <v>sctr_human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637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5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1693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1694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758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6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sctr_human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2569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2674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5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crfr2_human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2641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1695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gabr1_human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649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658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765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792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826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2</v>
      </c>
      <c r="AX354" s="3">
        <f t="shared" si="236"/>
        <v>9</v>
      </c>
      <c r="AY354" s="3">
        <f t="shared" si="237"/>
        <v>6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gabr2_human</v>
      </c>
      <c r="C355" s="3">
        <f>VLOOKUP($A355,'SegEnds_NonXtal_BW#'!$A:$Z,3,FALSE)+D355-50</f>
        <v>478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545</v>
      </c>
      <c r="P355" s="3">
        <v>578</v>
      </c>
      <c r="Q355" s="3">
        <f>VLOOKUP($A355,'SegEnds_NonXtal_BW#'!$A:$Z,12,FALSE)+VLOOKUP($A355,A:AL,16,FALSE)-50</f>
        <v>583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652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681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713</v>
      </c>
      <c r="AG355" s="3">
        <f>IF(ISERROR(VLOOKUP($A355,'SegEnds_NonXtal_BW#'!$A:$Z,23,FALSE)+VLOOKUP($A355,A:AL,34,FALSE)-50),"-",(VLOOKUP($A355,'SegEnds_NonXtal_BW#'!$A:$Z,23,FALSE)+VLOOKUP($A355,A:AL,34,FALSE)-50))</f>
        <v>716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2</v>
      </c>
      <c r="AX355" s="3">
        <f t="shared" si="236"/>
        <v>7</v>
      </c>
      <c r="AY355" s="3">
        <f t="shared" si="237"/>
        <v>3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gabr2_human</v>
      </c>
      <c r="C356" s="3">
        <f>VLOOKUP($A356,'SegEnds_NonXtal_BW#'!$A:$Z,3,FALSE)+D356-50</f>
        <v>46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112</v>
      </c>
      <c r="P356" s="3">
        <v>145</v>
      </c>
      <c r="Q356" s="3">
        <f>VLOOKUP($A356,'SegEnds_NonXtal_BW#'!$A:$Z,12,FALSE)+VLOOKUP($A356,A:AL,16,FALSE)-50</f>
        <v>150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220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249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282</v>
      </c>
      <c r="AG356" s="3">
        <f>IF(ISERROR(VLOOKUP($A356,'SegEnds_NonXtal_BW#'!$A:$Z,23,FALSE)+VLOOKUP($A356,A:AL,34,FALSE)-50),"-",(VLOOKUP($A356,'SegEnds_NonXtal_BW#'!$A:$Z,23,FALSE)+VLOOKUP($A356,A:AL,34,FALSE)-50))</f>
        <v>284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2</v>
      </c>
      <c r="AX356" s="3">
        <f t="shared" si="236"/>
        <v>8</v>
      </c>
      <c r="AY356" s="3">
        <f t="shared" si="237"/>
        <v>2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gabr2_human</v>
      </c>
      <c r="C358" s="3">
        <f>VLOOKUP($A358,'SegEnds_NonXtal_BW#'!$A:$Z,3,FALSE)+D358-50</f>
        <v>377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475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567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598</v>
      </c>
      <c r="AG358" s="3">
        <f>IF(ISERROR(VLOOKUP($A358,'SegEnds_NonXtal_BW#'!$A:$Z,23,FALSE)+VLOOKUP($A358,A:AL,34,FALSE)-50),"-",(VLOOKUP($A358,'SegEnds_NonXtal_BW#'!$A:$Z,23,FALSE)+VLOOKUP($A358,A:AL,34,FALSE)-50))</f>
        <v>603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6</v>
      </c>
      <c r="AY358" s="3">
        <f t="shared" si="237"/>
        <v>5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105">
        <v>362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105">
        <v>550</v>
      </c>
      <c r="AF375" s="3">
        <f>IF(ISERROR((VLOOKUP($A375,'SegEnds_NonXtal_BW#'!$A:$Z,22,FALSE)+VLOOKUP($A375,A:AL,31,FALSE)-50)),"-",(VLOOKUP($A375,'SegEnds_NonXtal_BW#'!$A:$Z,22,FALSE)+VLOOKUP($A375,A:AL,31,FALSE)-50))</f>
        <v>578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105">
        <v>618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21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28</v>
      </c>
      <c r="BC375" s="9" t="str">
        <f t="shared" si="240"/>
        <v>-</v>
      </c>
      <c r="BD375" s="3">
        <f t="shared" si="241"/>
        <v>28</v>
      </c>
      <c r="BE375" s="3">
        <f t="shared" si="242"/>
        <v>52</v>
      </c>
      <c r="BF375" s="3">
        <f>AH375-AE375</f>
        <v>68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105">
        <v>270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105">
        <v>457</v>
      </c>
      <c r="AF376" s="3">
        <f>IF(ISERROR((VLOOKUP($A376,'SegEnds_NonXtal_BW#'!$A:$Z,22,FALSE)+VLOOKUP($A376,A:AL,31,FALSE)-50)),"-",(VLOOKUP($A376,'SegEnds_NonXtal_BW#'!$A:$Z,22,FALSE)+VLOOKUP($A376,A:AL,31,FALSE)-50))</f>
        <v>485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105">
        <v>519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15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28</v>
      </c>
      <c r="BC376" s="9" t="str">
        <f t="shared" si="240"/>
        <v>-</v>
      </c>
      <c r="BD376" s="3">
        <f t="shared" si="241"/>
        <v>28</v>
      </c>
      <c r="BE376" s="3">
        <f t="shared" si="242"/>
        <v>52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105">
        <v>287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105">
        <v>475</v>
      </c>
      <c r="AF377" s="3">
        <f>IF(ISERROR((VLOOKUP($A377,'SegEnds_NonXtal_BW#'!$A:$Z,22,FALSE)+VLOOKUP($A377,A:AL,31,FALSE)-50)),"-",(VLOOKUP($A377,'SegEnds_NonXtal_BW#'!$A:$Z,22,FALSE)+VLOOKUP($A377,A:AL,31,FALSE)-50))</f>
        <v>503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105">
        <v>536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14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28</v>
      </c>
      <c r="BC377" s="9" t="str">
        <f t="shared" si="240"/>
        <v>-</v>
      </c>
      <c r="BD377" s="3">
        <f t="shared" si="241"/>
        <v>28</v>
      </c>
      <c r="BE377" s="3">
        <f t="shared" si="242"/>
        <v>52</v>
      </c>
      <c r="BF377" s="3">
        <f>AH377-AE377</f>
        <v>61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105">
        <v>245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105">
        <v>434</v>
      </c>
      <c r="AF378" s="3">
        <f>IF(ISERROR((VLOOKUP($A378,'SegEnds_NonXtal_BW#'!$A:$Z,22,FALSE)+VLOOKUP($A378,A:AL,31,FALSE)-50)),"-",(VLOOKUP($A378,'SegEnds_NonXtal_BW#'!$A:$Z,22,FALSE)+VLOOKUP($A378,A:AL,31,FALSE)-50))</f>
        <v>462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105">
        <v>495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14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28</v>
      </c>
      <c r="BC378" s="9" t="str">
        <f t="shared" si="240"/>
        <v>-</v>
      </c>
      <c r="BD378" s="3">
        <f t="shared" si="241"/>
        <v>28</v>
      </c>
      <c r="BE378" s="3">
        <f t="shared" si="242"/>
        <v>52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105">
        <v>262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105">
        <v>450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105">
        <v>492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28</v>
      </c>
      <c r="BC379" s="9" t="str">
        <f t="shared" si="240"/>
        <v>-</v>
      </c>
      <c r="BD379" s="3">
        <f t="shared" si="241"/>
        <v>28</v>
      </c>
      <c r="BE379" s="3">
        <f t="shared" si="242"/>
        <v>52</v>
      </c>
      <c r="BF379" s="3">
        <f>AH379-AE379</f>
        <v>42</v>
      </c>
    </row>
    <row r="380" spans="1:58" s="3" customFormat="1" x14ac:dyDescent="0.2">
      <c r="A380" s="3" t="s">
        <v>447</v>
      </c>
      <c r="B380" s="3" t="str">
        <f>LOWER(VLOOKUP(A380,Xtal_Templ!A:B,2,FALSE))</f>
        <v>fzd4_human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105">
        <v>278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340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105">
        <v>463</v>
      </c>
      <c r="AF380" s="3">
        <f>IF(ISERROR((VLOOKUP($A380,'SegEnds_NonXtal_BW#'!$A:$Z,22,FALSE)+VLOOKUP($A380,A:AL,31,FALSE)-50)),"-",(VLOOKUP($A380,'SegEnds_NonXtal_BW#'!$A:$Z,22,FALSE)+VLOOKUP($A380,A:AL,31,FALSE)-50))</f>
        <v>491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105">
        <v>518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NoXtal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8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28</v>
      </c>
      <c r="BC380" s="9" t="str">
        <f t="shared" si="240"/>
        <v>-</v>
      </c>
      <c r="BD380" s="3">
        <f t="shared" si="241"/>
        <v>28</v>
      </c>
      <c r="BE380" s="3">
        <f t="shared" si="242"/>
        <v>52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105">
        <v>241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105">
        <v>430</v>
      </c>
      <c r="AF381" s="3">
        <f>IF(ISERROR((VLOOKUP($A381,'SegEnds_NonXtal_BW#'!$A:$Z,22,FALSE)+VLOOKUP($A381,A:AL,31,FALSE)-50)),"-",(VLOOKUP($A381,'SegEnds_NonXtal_BW#'!$A:$Z,22,FALSE)+VLOOKUP($A381,A:AL,31,FALSE)-50))</f>
        <v>458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105">
        <v>491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14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28</v>
      </c>
      <c r="BC381" s="9" t="str">
        <f t="shared" si="240"/>
        <v>-</v>
      </c>
      <c r="BD381" s="3">
        <f t="shared" si="241"/>
        <v>28</v>
      </c>
      <c r="BE381" s="3">
        <f t="shared" si="242"/>
        <v>52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105">
        <v>296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105">
        <v>484</v>
      </c>
      <c r="AF382" s="3">
        <f>IF(ISERROR((VLOOKUP($A382,'SegEnds_NonXtal_BW#'!$A:$Z,22,FALSE)+VLOOKUP($A382,A:AL,31,FALSE)-50)),"-",(VLOOKUP($A382,'SegEnds_NonXtal_BW#'!$A:$Z,22,FALSE)+VLOOKUP($A382,A:AL,31,FALSE)-50))</f>
        <v>512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105">
        <v>545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14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28</v>
      </c>
      <c r="BC382" s="9" t="str">
        <f t="shared" si="240"/>
        <v>-</v>
      </c>
      <c r="BD382" s="3">
        <f t="shared" si="241"/>
        <v>28</v>
      </c>
      <c r="BE382" s="3">
        <f t="shared" si="242"/>
        <v>52</v>
      </c>
      <c r="BF382" s="3">
        <f>AH382-AE382</f>
        <v>61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105">
        <v>320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105">
        <v>546</v>
      </c>
      <c r="AF383" s="3">
        <f>IF(ISERROR((VLOOKUP($A383,'SegEnds_NonXtal_BW#'!$A:$Z,22,FALSE)+VLOOKUP($A383,A:AL,31,FALSE)-50)),"-",(VLOOKUP($A383,'SegEnds_NonXtal_BW#'!$A:$Z,22,FALSE)+VLOOKUP($A383,A:AL,31,FALSE)-50))</f>
        <v>574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105">
        <v>601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8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28</v>
      </c>
      <c r="BC383" s="9" t="str">
        <f t="shared" si="240"/>
        <v>-</v>
      </c>
      <c r="BD383" s="3">
        <f t="shared" si="241"/>
        <v>28</v>
      </c>
      <c r="BE383" s="3">
        <f t="shared" si="242"/>
        <v>54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105">
        <v>274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105">
        <v>461</v>
      </c>
      <c r="AF384" s="3">
        <f>IF(ISERROR((VLOOKUP($A384,'SegEnds_NonXtal_BW#'!$A:$Z,22,FALSE)+VLOOKUP($A384,A:AL,31,FALSE)-50)),"-",(VLOOKUP($A384,'SegEnds_NonXtal_BW#'!$A:$Z,22,FALSE)+VLOOKUP($A384,A:AL,31,FALSE)-50))</f>
        <v>489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105">
        <v>525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17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28</v>
      </c>
      <c r="BC384" s="9" t="str">
        <f t="shared" si="240"/>
        <v>-</v>
      </c>
      <c r="BD384" s="3">
        <f t="shared" si="241"/>
        <v>28</v>
      </c>
      <c r="BE384" s="3">
        <f t="shared" si="242"/>
        <v>52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105">
        <v>274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105">
        <v>465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105">
        <v>533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29</v>
      </c>
      <c r="BC385" s="9" t="str">
        <f t="shared" si="240"/>
        <v>-</v>
      </c>
      <c r="BD385" s="3">
        <f t="shared" si="241"/>
        <v>29</v>
      </c>
      <c r="BE385" s="3">
        <f t="shared" si="242"/>
        <v>54</v>
      </c>
    </row>
    <row r="386" spans="1:58" s="3" customFormat="1" x14ac:dyDescent="0.2">
      <c r="A386" s="3" t="s">
        <v>1590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105">
        <v>278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105">
        <v>469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105">
        <v>537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29</v>
      </c>
      <c r="BC386" s="9" t="str">
        <f t="shared" ref="BC386" si="268">IF(ISERROR(V386-S386),"-",V386-S386)</f>
        <v>-</v>
      </c>
      <c r="BD386" s="3">
        <f t="shared" ref="BD386" si="269">J386-D386</f>
        <v>29</v>
      </c>
      <c r="BE386" s="3">
        <f t="shared" ref="BE386" si="270">AE386-AB386</f>
        <v>54</v>
      </c>
    </row>
    <row r="387" spans="1:58" s="9" customFormat="1" x14ac:dyDescent="0.2">
      <c r="A387" s="126" t="s">
        <v>1491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105">
        <v>247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105">
        <v>438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105">
        <v>506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5">
        <f>J387-D387</f>
        <v>29</v>
      </c>
      <c r="BC387" s="9" t="str">
        <f>IF(ISERROR(V387-S387),"-",V387-S387)</f>
        <v>-</v>
      </c>
      <c r="BD387" s="9">
        <f>J387-D387</f>
        <v>29</v>
      </c>
      <c r="BE387" s="9">
        <f>AE387-AB387</f>
        <v>54</v>
      </c>
    </row>
    <row r="388" spans="1:58" s="3" customFormat="1" x14ac:dyDescent="0.2">
      <c r="A388" s="3" t="s">
        <v>477</v>
      </c>
      <c r="B388" s="3" t="str">
        <f>LOWER(VLOOKUP(A388,Xtal_Templ!A:B,2,FALSE))</f>
        <v>fpr2_human</v>
      </c>
      <c r="C388" s="3">
        <v>20</v>
      </c>
      <c r="D388" s="3">
        <v>53</v>
      </c>
      <c r="E388" s="3">
        <f>IF(ISERROR(VLOOKUP($A388,'SegEnds_NonXtal_BW#'!$A:$Z,4,FALSE)+VLOOKUP($A388,A:AL,4,FALSE)-50),"-",(VLOOKUP($A388,'SegEnds_NonXtal_BW#'!$A:$Z,4,FALSE)+VLOOKUP($A388,A:AL,4,FALSE)-50))</f>
        <v>63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60</v>
      </c>
      <c r="J388" s="3">
        <v>71</v>
      </c>
      <c r="K388" s="3">
        <f>VLOOKUP($A388,'SegEnds_NonXtal_BW#'!$A:$Z,8,FALSE)+VLOOKUP($A388,A:AL,10,FALSE)-50</f>
        <v>84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125</v>
      </c>
      <c r="P388" s="3">
        <v>152</v>
      </c>
      <c r="Q388" s="3">
        <f>VLOOKUP($A388,'SegEnds_NonXtal_BW#'!$A:$Z,12,FALSE)+VLOOKUP($A388,A:AL,16,FALSE)-50</f>
        <v>158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175</v>
      </c>
      <c r="V388" s="3">
        <v>185</v>
      </c>
      <c r="W388" s="3">
        <f>IF(ISERROR(VLOOKUP($A388,'SegEnds_NonXtal_BW#'!$A:$Z,16,FALSE)+VLOOKUP($A388,A:AL,22,FALSE)-50),"-",(VLOOKUP($A388,'SegEnds_NonXtal_BW#'!$A:$Z,16,FALSE)+VLOOKUP($A388,A:AL,22,FALSE)-50))</f>
        <v>199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257</v>
      </c>
      <c r="AB388" s="3">
        <v>268</v>
      </c>
      <c r="AC388" s="3">
        <f>IF(ISERROR((VLOOKUP($A388,'SegEnds_NonXtal_BW#'!$A:$Z,20,FALSE)+VLOOKUP($A388,A:AL,28,FALSE)-50)),"-",(VLOOKUP($A388,'SegEnds_NonXtal_BW#'!$A:$Z,20,FALSE)+VLOOKUP($A388,A:AL,28,FALSE)-50))</f>
        <v>279</v>
      </c>
      <c r="AD388" s="3">
        <f>IF(ISERROR(VLOOKUP($A388,'SegEnds_NonXtal_BW#'!$A:$Z,21,FALSE)+VLOOKUP($A388,A:AL,31,FALSE)-50),"-",(VLOOKUP($A388,'SegEnds_NonXtal_BW#'!$A:$Z,21,FALSE)+VLOOKUP($A388,A:AL,31,FALSE)-50))</f>
        <v>326</v>
      </c>
      <c r="AE388" s="3">
        <v>347</v>
      </c>
      <c r="AF388" s="3">
        <f>IF(ISERROR((VLOOKUP($A388,'SegEnds_NonXtal_BW#'!$A:$Z,22,FALSE)+VLOOKUP($A388,A:AL,31,FALSE)-50)),"-",(VLOOKUP($A388,'SegEnds_NonXtal_BW#'!$A:$Z,22,FALSE)+VLOOKUP($A388,A:AL,31,FALSE)-50))</f>
        <v>350</v>
      </c>
      <c r="AG388" s="3">
        <f>IF(ISERROR(VLOOKUP($A388,'SegEnds_NonXtal_BW#'!$A:$Z,23,FALSE)+VLOOKUP($A388,A:AL,34,FALSE)-50),"-",(VLOOKUP($A388,'SegEnds_NonXtal_BW#'!$A:$Z,23,FALSE)+VLOOKUP($A388,A:AL,34,FALSE)-50))</f>
        <v>365</v>
      </c>
      <c r="AH388" s="3">
        <v>380</v>
      </c>
      <c r="AI388" s="3">
        <f>IF(ISERROR((VLOOKUP($A388,'SegEnds_NonXtal_BW#'!$A:$Z,24,FALSE)+VLOOKUP($A388,A:AL,34,FALSE)-50)),"-",(VLOOKUP($A388,'SegEnds_NonXtal_BW#'!$A:$Z,24,FALSE)+VLOOKUP($A388,A:AL,34,FALSE)-50))</f>
        <v>386</v>
      </c>
      <c r="AJ388" s="3">
        <f>IF(ISERROR(VLOOKUP($A388,'SegEnds_NonXtal_BW#'!$A:$Z,25,FALSE)+VLOOKUP($A388,A:AL,37,FALSE)-50),"-",(VLOOKUP($A388,'SegEnds_NonXtal_BW#'!$A:$Z,25,FALSE)+VLOOKUP($A388,A:AL,37,FALSE)-50))</f>
        <v>387</v>
      </c>
      <c r="AK388" s="3">
        <v>390</v>
      </c>
      <c r="AL388" s="3">
        <f>IF(ISERROR((VLOOKUP($A388,'SegEnds_NonXtal_BW#'!$A:$Z,26,FALSE)+VLOOKUP($A388,A:AL,37,FALSE)-50)),"-",(VLOOKUP($A388,'SegEnds_NonXtal_BW#'!$A:$Z,26,FALSE)+VLOOKUP($A388,A:AL,37,FALSE)-50))</f>
        <v>397</v>
      </c>
      <c r="AM388" s="28" t="str">
        <f>VLOOKUP(A388,Classification!A:B,2,FALSE)</f>
        <v>O</v>
      </c>
      <c r="AN388" s="28" t="b">
        <f t="shared" si="243"/>
        <v>1</v>
      </c>
      <c r="AO388" s="3" t="str">
        <f>IF(ISERROR(MATCH(A388,'SegEnds_Xtal_Prot#'!B:B, 0)), "NoXtal", "Xtal")</f>
        <v>NoXtal</v>
      </c>
      <c r="AP388" s="3" t="str">
        <f t="shared" si="228"/>
        <v>-</v>
      </c>
      <c r="AQ388" s="3" t="str">
        <f t="shared" si="229"/>
        <v>-</v>
      </c>
      <c r="AR388" s="3" t="str">
        <f t="shared" si="230"/>
        <v>-</v>
      </c>
      <c r="AS388" s="3" t="str">
        <f t="shared" si="231"/>
        <v>-</v>
      </c>
      <c r="AT388" s="3" t="str">
        <f t="shared" si="232"/>
        <v>-</v>
      </c>
      <c r="AU388" s="3" t="str">
        <f t="shared" si="233"/>
        <v>-</v>
      </c>
      <c r="AV388" s="3" t="str">
        <f t="shared" si="234"/>
        <v>-</v>
      </c>
      <c r="AW388" s="3" t="str">
        <f t="shared" si="235"/>
        <v>-</v>
      </c>
      <c r="AX388" s="3">
        <f t="shared" si="236"/>
        <v>47</v>
      </c>
      <c r="AY388" s="3">
        <f t="shared" si="237"/>
        <v>15</v>
      </c>
      <c r="AZ388" s="3">
        <f t="shared" si="238"/>
        <v>1</v>
      </c>
      <c r="BA388" s="3">
        <f>IF(ISERROR(LEN(VLOOKUP(A388,Seqs!A:E,2,FALSE))-AL388),"-",LEN(VLOOKUP(A388,Seqs!A:E,2,FALSE))-AL388)</f>
        <v>20</v>
      </c>
      <c r="BB388" s="16">
        <f t="shared" si="239"/>
        <v>18</v>
      </c>
      <c r="BC388" s="9" t="str">
        <f t="shared" si="240"/>
        <v>-</v>
      </c>
      <c r="BD388" s="3">
        <f t="shared" si="241"/>
        <v>18</v>
      </c>
      <c r="BE388" s="3">
        <f t="shared" si="242"/>
        <v>79</v>
      </c>
      <c r="BF388" s="3">
        <f>AH388-AE388</f>
        <v>33</v>
      </c>
    </row>
    <row r="389" spans="1:58" s="3" customFormat="1" x14ac:dyDescent="0.2">
      <c r="A389" s="3" t="s">
        <v>478</v>
      </c>
      <c r="B389" s="3" t="str">
        <f>LOWER(VLOOKUP(A389,Xtal_Templ!A:B,2,FALSE))</f>
        <v>ccr9_human</v>
      </c>
      <c r="C389" s="3">
        <v>202</v>
      </c>
      <c r="D389" s="3">
        <v>231</v>
      </c>
      <c r="E389" s="3">
        <f>IF(ISERROR(VLOOKUP($A389,'SegEnds_NonXtal_BW#'!$A:$Z,4,FALSE)+VLOOKUP($A389,A:AL,4,FALSE)-50),"-",(VLOOKUP($A389,'SegEnds_NonXtal_BW#'!$A:$Z,4,FALSE)+VLOOKUP($A389,A:AL,4,FALSE)-50))</f>
        <v>241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269</v>
      </c>
      <c r="J389" s="3">
        <v>280</v>
      </c>
      <c r="K389" s="3">
        <f>VLOOKUP($A389,'SegEnds_NonXtal_BW#'!$A:$Z,8,FALSE)+VLOOKUP($A389,A:AL,10,FALSE)-50</f>
        <v>293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327</v>
      </c>
      <c r="P389" s="3">
        <v>354</v>
      </c>
      <c r="Q389" s="3">
        <f>VLOOKUP($A389,'SegEnds_NonXtal_BW#'!$A:$Z,12,FALSE)+VLOOKUP($A389,A:AL,16,FALSE)-50</f>
        <v>360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381</v>
      </c>
      <c r="V389" s="3">
        <v>391</v>
      </c>
      <c r="W389" s="3">
        <f>IF(ISERROR(VLOOKUP($A389,'SegEnds_NonXtal_BW#'!$A:$Z,16,FALSE)+VLOOKUP($A389,A:AL,22,FALSE)-50),"-",(VLOOKUP($A389,'SegEnds_NonXtal_BW#'!$A:$Z,16,FALSE)+VLOOKUP($A389,A:AL,22,FALSE)-50))</f>
        <v>405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461</v>
      </c>
      <c r="AB389" s="3">
        <v>472</v>
      </c>
      <c r="AC389" s="3">
        <f>IF(ISERROR((VLOOKUP($A389,'SegEnds_NonXtal_BW#'!$A:$Z,20,FALSE)+VLOOKUP($A389,A:AL,28,FALSE)-50)),"-",(VLOOKUP($A389,'SegEnds_NonXtal_BW#'!$A:$Z,20,FALSE)+VLOOKUP($A389,A:AL,28,FALSE)-50))</f>
        <v>483</v>
      </c>
      <c r="AD389" s="3">
        <f>IF(ISERROR(VLOOKUP($A389,'SegEnds_NonXtal_BW#'!$A:$Z,21,FALSE)+VLOOKUP($A389,A:AL,31,FALSE)-50),"-",(VLOOKUP($A389,'SegEnds_NonXtal_BW#'!$A:$Z,21,FALSE)+VLOOKUP($A389,A:AL,31,FALSE)-50))</f>
        <v>488</v>
      </c>
      <c r="AE389" s="3">
        <v>509</v>
      </c>
      <c r="AF389" s="3">
        <f>IF(ISERROR((VLOOKUP($A389,'SegEnds_NonXtal_BW#'!$A:$Z,22,FALSE)+VLOOKUP($A389,A:AL,31,FALSE)-50)),"-",(VLOOKUP($A389,'SegEnds_NonXtal_BW#'!$A:$Z,22,FALSE)+VLOOKUP($A389,A:AL,31,FALSE)-50))</f>
        <v>512</v>
      </c>
      <c r="AG389" s="3">
        <f>IF(ISERROR(VLOOKUP($A389,'SegEnds_NonXtal_BW#'!$A:$Z,23,FALSE)+VLOOKUP($A389,A:AL,34,FALSE)-50),"-",(VLOOKUP($A389,'SegEnds_NonXtal_BW#'!$A:$Z,23,FALSE)+VLOOKUP($A389,A:AL,34,FALSE)-50))</f>
        <v>538</v>
      </c>
      <c r="AH389" s="3">
        <v>553</v>
      </c>
      <c r="AI389" s="3">
        <f>IF(ISERROR((VLOOKUP($A389,'SegEnds_NonXtal_BW#'!$A:$Z,24,FALSE)+VLOOKUP($A389,A:AL,34,FALSE)-50)),"-",(VLOOKUP($A389,'SegEnds_NonXtal_BW#'!$A:$Z,24,FALSE)+VLOOKUP($A389,A:AL,34,FALSE)-50))</f>
        <v>559</v>
      </c>
      <c r="AJ389" s="3">
        <f>IF(ISERROR(VLOOKUP($A389,'SegEnds_NonXtal_BW#'!$A:$Z,25,FALSE)+VLOOKUP($A389,A:AL,37,FALSE)-50),"-",(VLOOKUP($A389,'SegEnds_NonXtal_BW#'!$A:$Z,25,FALSE)+VLOOKUP($A389,A:AL,37,FALSE)-50))</f>
        <v>561</v>
      </c>
      <c r="AK389" s="3">
        <v>564</v>
      </c>
      <c r="AL389" s="3">
        <f>IF(ISERROR((VLOOKUP($A389,'SegEnds_NonXtal_BW#'!$A:$Z,26,FALSE)+VLOOKUP($A389,A:AL,37,FALSE)-50)),"-",(VLOOKUP($A389,'SegEnds_NonXtal_BW#'!$A:$Z,26,FALSE)+VLOOKUP($A389,A:AL,37,FALSE)-50))</f>
        <v>571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5</v>
      </c>
      <c r="AY389" s="3">
        <f t="shared" si="237"/>
        <v>26</v>
      </c>
      <c r="AZ389" s="3">
        <f t="shared" si="238"/>
        <v>2</v>
      </c>
      <c r="BA389" s="3">
        <f>IF(ISERROR(LEN(VLOOKUP(A389,Seqs!A:E,2,FALSE))-AL389),"-",LEN(VLOOKUP(A389,Seqs!A:E,2,FALSE))-AL389)</f>
        <v>29</v>
      </c>
      <c r="BB389" s="16">
        <f t="shared" si="239"/>
        <v>49</v>
      </c>
      <c r="BC389" s="9" t="str">
        <f t="shared" si="240"/>
        <v>-</v>
      </c>
      <c r="BD389" s="3">
        <f t="shared" si="241"/>
        <v>49</v>
      </c>
      <c r="BE389" s="3">
        <f t="shared" si="242"/>
        <v>37</v>
      </c>
      <c r="BF389" s="3">
        <f>AH389-AE389</f>
        <v>44</v>
      </c>
    </row>
    <row r="390" spans="1:58" s="3" customFormat="1" x14ac:dyDescent="0.2">
      <c r="A390" s="3" t="s">
        <v>481</v>
      </c>
      <c r="B390" s="3" t="str">
        <f>LOWER(VLOOKUP(A390,Xtal_Templ!A:B,2,FALSE))</f>
        <v>aa2ar_human</v>
      </c>
      <c r="C390" s="3">
        <v>12</v>
      </c>
      <c r="D390" s="3">
        <v>42</v>
      </c>
      <c r="E390" s="3">
        <f>IF(ISERROR(VLOOKUP($A390,'SegEnds_NonXtal_BW#'!$A:$Z,4,FALSE)+VLOOKUP($A390,A:AL,4,FALSE)-50),"-",(VLOOKUP($A390,'SegEnds_NonXtal_BW#'!$A:$Z,4,FALSE)+VLOOKUP($A390,A:AL,4,FALSE)-50))</f>
        <v>52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67</v>
      </c>
      <c r="J390" s="3">
        <v>78</v>
      </c>
      <c r="K390" s="3">
        <f>VLOOKUP($A390,'SegEnds_NonXtal_BW#'!$A:$Z,8,FALSE)+VLOOKUP($A390,A:AL,10,FALSE)-50</f>
        <v>91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114</v>
      </c>
      <c r="P390" s="3">
        <v>141</v>
      </c>
      <c r="Q390" s="3">
        <f>VLOOKUP($A390,'SegEnds_NonXtal_BW#'!$A:$Z,12,FALSE)+VLOOKUP($A390,A:AL,16,FALSE)-50</f>
        <v>147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152</v>
      </c>
      <c r="V390" s="3">
        <v>162</v>
      </c>
      <c r="W390" s="3">
        <f>IF(ISERROR(VLOOKUP($A390,'SegEnds_NonXtal_BW#'!$A:$Z,16,FALSE)+VLOOKUP($A390,A:AL,22,FALSE)-50),"-",(VLOOKUP($A390,'SegEnds_NonXtal_BW#'!$A:$Z,16,FALSE)+VLOOKUP($A390,A:AL,22,FALSE)-50))</f>
        <v>176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190</v>
      </c>
      <c r="AB390" s="3">
        <v>201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238</v>
      </c>
      <c r="AE390" s="3">
        <v>259</v>
      </c>
      <c r="AF390" s="3">
        <f>IF(ISERROR((VLOOKUP($A390,'SegEnds_NonXtal_BW#'!$A:$Z,22,FALSE)+VLOOKUP($A390,A:AL,31,FALSE)-50)),"-",(VLOOKUP($A390,'SegEnds_NonXtal_BW#'!$A:$Z,22,FALSE)+VLOOKUP($A390,A:AL,31,FALSE)-50))</f>
        <v>262</v>
      </c>
      <c r="AG390" s="3">
        <f>IF(ISERROR(VLOOKUP($A390,'SegEnds_NonXtal_BW#'!$A:$Z,23,FALSE)+VLOOKUP($A390,A:AL,34,FALSE)-50),"-",(VLOOKUP($A390,'SegEnds_NonXtal_BW#'!$A:$Z,23,FALSE)+VLOOKUP($A390,A:AL,34,FALSE)-50))</f>
        <v>293</v>
      </c>
      <c r="AH390" s="3">
        <v>308</v>
      </c>
      <c r="AI390" s="3">
        <f>IF(ISERROR((VLOOKUP($A390,'SegEnds_NonXtal_BW#'!$A:$Z,24,FALSE)+VLOOKUP($A390,A:AL,34,FALSE)-50)),"-",(VLOOKUP($A390,'SegEnds_NonXtal_BW#'!$A:$Z,24,FALSE)+VLOOKUP($A390,A:AL,34,FALSE)-50))</f>
        <v>314</v>
      </c>
      <c r="AJ390" s="3">
        <f>IF(ISERROR(VLOOKUP($A390,'SegEnds_NonXtal_BW#'!$A:$Z,25,FALSE)+VLOOKUP($A390,A:AL,37,FALSE)-50),"-",(VLOOKUP($A390,'SegEnds_NonXtal_BW#'!$A:$Z,25,FALSE)+VLOOKUP($A390,A:AL,37,FALSE)-50))</f>
        <v>315</v>
      </c>
      <c r="AK390" s="3">
        <v>318</v>
      </c>
      <c r="AL390" s="3">
        <f>IF(ISERROR((VLOOKUP($A390,'SegEnds_NonXtal_BW#'!$A:$Z,26,FALSE)+VLOOKUP($A390,A:AL,37,FALSE)-50)),"-",(VLOOKUP($A390,'SegEnds_NonXtal_BW#'!$A:$Z,26,FALSE)+VLOOKUP($A390,A:AL,37,FALSE)-50))</f>
        <v>325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26</v>
      </c>
      <c r="AY390" s="3">
        <f t="shared" si="237"/>
        <v>31</v>
      </c>
      <c r="AZ390" s="3">
        <f t="shared" si="238"/>
        <v>1</v>
      </c>
      <c r="BA390" s="3">
        <f>IF(ISERROR(LEN(VLOOKUP(A390,Seqs!A:E,2,FALSE))-AL390),"-",LEN(VLOOKUP(A390,Seqs!A:E,2,FALSE))-AL390)</f>
        <v>79</v>
      </c>
      <c r="BB390" s="16">
        <f t="shared" si="239"/>
        <v>36</v>
      </c>
      <c r="BC390" s="9" t="str">
        <f t="shared" si="240"/>
        <v>-</v>
      </c>
      <c r="BD390" s="3">
        <f t="shared" si="241"/>
        <v>36</v>
      </c>
      <c r="BE390" s="3">
        <f t="shared" si="242"/>
        <v>58</v>
      </c>
    </row>
    <row r="391" spans="1:58" s="3" customFormat="1" x14ac:dyDescent="0.2">
      <c r="A391" s="3" t="s">
        <v>482</v>
      </c>
      <c r="B391" s="3" t="str">
        <f>LOWER(VLOOKUP(A391,Xtal_Templ!A:B,2,FALSE))</f>
        <v>5ht2c_human</v>
      </c>
      <c r="C391" s="3">
        <f>VLOOKUP($A391,'SegEnds_NonXtal_BW#'!$A:$Z,3,FALSE)+D391-50</f>
        <v>12</v>
      </c>
      <c r="D391" s="3">
        <v>29</v>
      </c>
      <c r="E391" s="3">
        <f>IF(ISERROR(VLOOKUP($A391,'SegEnds_NonXtal_BW#'!$A:$Z,4,FALSE)+VLOOKUP($A391,A:AL,4,FALSE)-50),"-",(VLOOKUP($A391,'SegEnds_NonXtal_BW#'!$A:$Z,4,FALSE)+VLOOKUP($A391,A:AL,4,FALSE)-50))</f>
        <v>39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46</v>
      </c>
      <c r="J391" s="3">
        <v>57</v>
      </c>
      <c r="K391" s="3">
        <f>VLOOKUP($A391,'SegEnds_NonXtal_BW#'!$A:$Z,8,FALSE)+VLOOKUP($A391,A:AL,10,FALSE)-50</f>
        <v>70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104</v>
      </c>
      <c r="Q391" s="3">
        <f>VLOOKUP($A391,'SegEnds_NonXtal_BW#'!$A:$Z,12,FALSE)+VLOOKUP($A391,A:AL,16,FALSE)-50</f>
        <v>110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125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153</v>
      </c>
      <c r="AB391" s="3">
        <v>164</v>
      </c>
      <c r="AC391" s="3">
        <f>IF(ISERROR((VLOOKUP($A391,'SegEnds_NonXtal_BW#'!$A:$Z,20,FALSE)+VLOOKUP($A391,A:AL,28,FALSE)-50)),"-",(VLOOKUP($A391,'SegEnds_NonXtal_BW#'!$A:$Z,20,FALSE)+VLOOKUP($A391,A:AL,28,FALSE)-50))</f>
        <v>175</v>
      </c>
      <c r="AD391" s="3">
        <f>IF(ISERROR(VLOOKUP($A391,'SegEnds_NonXtal_BW#'!$A:$Z,21,FALSE)+VLOOKUP($A391,A:AL,31,FALSE)-50),"-",(VLOOKUP($A391,'SegEnds_NonXtal_BW#'!$A:$Z,21,FALSE)+VLOOKUP($A391,A:AL,31,FALSE)-50))</f>
        <v>210</v>
      </c>
      <c r="AE391" s="3">
        <v>231</v>
      </c>
      <c r="AF391" s="3">
        <f>IF(ISERROR((VLOOKUP($A391,'SegEnds_NonXtal_BW#'!$A:$Z,22,FALSE)+VLOOKUP($A391,A:AL,31,FALSE)-50)),"-",(VLOOKUP($A391,'SegEnds_NonXtal_BW#'!$A:$Z,22,FALSE)+VLOOKUP($A391,A:AL,31,FALSE)-50))</f>
        <v>234</v>
      </c>
      <c r="AG391" s="3">
        <f>IF(ISERROR(VLOOKUP($A391,'SegEnds_NonXtal_BW#'!$A:$Z,23,FALSE)+VLOOKUP($A391,A:AL,34,FALSE)-50),"-",(VLOOKUP($A391,'SegEnds_NonXtal_BW#'!$A:$Z,23,FALSE)+VLOOKUP($A391,A:AL,34,FALSE)-50))</f>
        <v>261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v>286</v>
      </c>
      <c r="AK391" s="3">
        <v>294</v>
      </c>
      <c r="AL391" s="3">
        <f>IF(ISERROR((VLOOKUP($A391,'SegEnds_NonXtal_BW#'!$A:$Z,26,FALSE)+VLOOKUP($A391,A:AL,37,FALSE)-50)),"-",(VLOOKUP($A391,'SegEnds_NonXtal_BW#'!$A:$Z,26,FALSE)+VLOOKUP($A391,A:AL,37,FALSE)-50))</f>
        <v>301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35</v>
      </c>
      <c r="AY391" s="3">
        <f t="shared" si="237"/>
        <v>27</v>
      </c>
      <c r="AZ391" s="3">
        <f t="shared" si="238"/>
        <v>4</v>
      </c>
      <c r="BA391" s="3">
        <f>IF(ISERROR(LEN(VLOOKUP(A391,Seqs!A:E,2,FALSE))-AL391),"-",LEN(VLOOKUP(A391,Seqs!A:E,2,FALSE))-AL391)</f>
        <v>34</v>
      </c>
      <c r="BB391" s="16">
        <f t="shared" si="239"/>
        <v>28</v>
      </c>
      <c r="BC391" s="9" t="str">
        <f t="shared" si="240"/>
        <v>-</v>
      </c>
      <c r="BD391" s="3">
        <f t="shared" si="241"/>
        <v>28</v>
      </c>
      <c r="BE391" s="3">
        <f t="shared" si="242"/>
        <v>67</v>
      </c>
    </row>
    <row r="392" spans="1:58" s="3" customFormat="1" x14ac:dyDescent="0.2">
      <c r="A392" s="3" t="s">
        <v>480</v>
      </c>
      <c r="B392" s="3" t="str">
        <f>LOWER(VLOOKUP(A392,Xtal_Templ!A:B,2,FALSE))</f>
        <v>pe2r4_human</v>
      </c>
      <c r="C392" s="3">
        <v>27</v>
      </c>
      <c r="D392" s="3">
        <v>64</v>
      </c>
      <c r="E392" s="3">
        <f>IF(ISERROR(VLOOKUP($A392,'SegEnds_NonXtal_BW#'!$A:$Z,4,FALSE)+VLOOKUP($A392,A:AL,4,FALSE)-50),"-",(VLOOKUP($A392,'SegEnds_NonXtal_BW#'!$A:$Z,4,FALSE)+VLOOKUP($A392,A:AL,4,FALSE)-50))</f>
        <v>74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85</v>
      </c>
      <c r="J392" s="3">
        <v>96</v>
      </c>
      <c r="K392" s="3">
        <f>VLOOKUP($A392,'SegEnds_NonXtal_BW#'!$A:$Z,8,FALSE)+VLOOKUP($A392,A:AL,10,FALSE)-50</f>
        <v>109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114</v>
      </c>
      <c r="P392" s="3">
        <v>141</v>
      </c>
      <c r="Q392" s="3">
        <f>VLOOKUP($A392,'SegEnds_NonXtal_BW#'!$A:$Z,12,FALSE)+VLOOKUP($A392,A:AL,16,FALSE)-50</f>
        <v>147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162</v>
      </c>
      <c r="V392" s="3">
        <v>172</v>
      </c>
      <c r="W392" s="3">
        <f>IF(ISERROR(VLOOKUP($A392,'SegEnds_NonXtal_BW#'!$A:$Z,16,FALSE)+VLOOKUP($A392,A:AL,22,FALSE)-50),"-",(VLOOKUP($A392,'SegEnds_NonXtal_BW#'!$A:$Z,16,FALSE)+VLOOKUP($A392,A:AL,22,FALSE)-50))</f>
        <v>183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197</v>
      </c>
      <c r="AC392" s="3">
        <f>IF(ISERROR((VLOOKUP($A392,'SegEnds_NonXtal_BW#'!$A:$Z,20,FALSE)+VLOOKUP($A392,A:AL,28,FALSE)-50)),"-",(VLOOKUP($A392,'SegEnds_NonXtal_BW#'!$A:$Z,20,FALSE)+VLOOKUP($A392,A:AL,28,FALSE)-50))</f>
        <v>208</v>
      </c>
      <c r="AD392" s="3">
        <f>IF(ISERROR(VLOOKUP($A392,'SegEnds_NonXtal_BW#'!$A:$Z,21,FALSE)+VLOOKUP($A392,A:AL,31,FALSE)-50),"-",(VLOOKUP($A392,'SegEnds_NonXtal_BW#'!$A:$Z,21,FALSE)+VLOOKUP($A392,A:AL,31,FALSE)-50))</f>
        <v>252</v>
      </c>
      <c r="AE392" s="3">
        <v>273</v>
      </c>
      <c r="AF392" s="3">
        <f>IF(ISERROR((VLOOKUP($A392,'SegEnds_NonXtal_BW#'!$A:$Z,22,FALSE)+VLOOKUP($A392,A:AL,31,FALSE)-50)),"-",(VLOOKUP($A392,'SegEnds_NonXtal_BW#'!$A:$Z,22,FALSE)+VLOOKUP($A392,A:AL,31,FALSE)-50))</f>
        <v>276</v>
      </c>
      <c r="AG392" s="3">
        <f>IF(ISERROR(VLOOKUP($A392,'SegEnds_NonXtal_BW#'!$A:$Z,23,FALSE)+VLOOKUP($A392,A:AL,34,FALSE)-50),"-",(VLOOKUP($A392,'SegEnds_NonXtal_BW#'!$A:$Z,23,FALSE)+VLOOKUP($A392,A:AL,34,FALSE)-50))</f>
        <v>294</v>
      </c>
      <c r="AH392" s="3">
        <v>309</v>
      </c>
      <c r="AI392" s="3">
        <f>IF(ISERROR((VLOOKUP($A392,'SegEnds_NonXtal_BW#'!$A:$Z,24,FALSE)+VLOOKUP($A392,A:AL,34,FALSE)-50)),"-",(VLOOKUP($A392,'SegEnds_NonXtal_BW#'!$A:$Z,24,FALSE)+VLOOKUP($A392,A:AL,34,FALSE)-50))</f>
        <v>315</v>
      </c>
      <c r="AJ392" s="105">
        <v>320</v>
      </c>
      <c r="AK392" s="3">
        <v>333</v>
      </c>
      <c r="AL392" s="3">
        <f>IF(ISERROR((VLOOKUP($A392,'SegEnds_NonXtal_BW#'!$A:$Z,26,FALSE)+VLOOKUP($A392,A:AL,37,FALSE)-50)),"-",(VLOOKUP($A392,'SegEnds_NonXtal_BW#'!$A:$Z,26,FALSE)+VLOOKUP($A392,A:AL,37,FALSE)-50))</f>
        <v>340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44</v>
      </c>
      <c r="AY392" s="3">
        <f t="shared" si="237"/>
        <v>18</v>
      </c>
      <c r="AZ392" s="3">
        <f t="shared" si="238"/>
        <v>5</v>
      </c>
      <c r="BA392" s="3">
        <f>IF(ISERROR(LEN(VLOOKUP(A392,Seqs!A:E,2,FALSE))-AL392),"-",LEN(VLOOKUP(A392,Seqs!A:E,2,FALSE))-AL392)</f>
        <v>33</v>
      </c>
      <c r="BB392" s="16">
        <f t="shared" si="239"/>
        <v>32</v>
      </c>
      <c r="BC392" s="9" t="str">
        <f t="shared" si="240"/>
        <v>-</v>
      </c>
      <c r="BD392" s="3">
        <f t="shared" si="241"/>
        <v>32</v>
      </c>
      <c r="BE392" s="3">
        <f t="shared" si="242"/>
        <v>76</v>
      </c>
    </row>
    <row r="393" spans="1:58" s="3" customFormat="1" x14ac:dyDescent="0.2">
      <c r="A393" s="3" t="s">
        <v>452</v>
      </c>
      <c r="B393" s="3" t="str">
        <f>LOWER(VLOOKUP(A393,Xtal_Templ!A:B,2,FALSE))</f>
        <v>drd2_human</v>
      </c>
      <c r="C393" s="3">
        <f>VLOOKUP($A393,'SegEnds_NonXtal_BW#'!$A:$Z,3,FALSE)+D393-50</f>
        <v>6</v>
      </c>
      <c r="D393" s="3">
        <v>24</v>
      </c>
      <c r="E393" s="3">
        <f t="shared" ref="E393:E417" si="271">F393-1</f>
        <v>36</v>
      </c>
      <c r="F393" s="3">
        <f t="shared" ref="F393:F417" si="272">G393-2</f>
        <v>37</v>
      </c>
      <c r="G393" s="3">
        <v>39</v>
      </c>
      <c r="H393" s="3">
        <f t="shared" ref="H393:I417" si="273">G393+1</f>
        <v>40</v>
      </c>
      <c r="I393" s="3">
        <f t="shared" si="273"/>
        <v>41</v>
      </c>
      <c r="J393" s="3">
        <v>54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ref="R393:R417" si="274">S393</f>
        <v>115</v>
      </c>
      <c r="S393" s="3">
        <v>115</v>
      </c>
      <c r="T393" s="100">
        <f t="shared" ref="T393:T417" si="275">S393+7</f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147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167</v>
      </c>
      <c r="AB393" s="3">
        <v>185</v>
      </c>
      <c r="AC393" s="3">
        <f>IF(ISERROR((VLOOKUP($A393,'SegEnds_NonXtal_BW#'!$A:$Z,20,FALSE)+VLOOKUP($A393,A:AL,28,FALSE)-50)),"-",(VLOOKUP($A393,'SegEnds_NonXtal_BW#'!$A:$Z,20,FALSE)+VLOOKUP($A393,A:AL,28,FALSE)-50))</f>
        <v>207</v>
      </c>
      <c r="AD393" s="3">
        <f>IF(ISERROR(VLOOKUP($A393,'SegEnds_NonXtal_BW#'!$A:$Z,21,FALSE)+VLOOKUP($A393,A:AL,31,FALSE)-50),"-",(VLOOKUP($A393,'SegEnds_NonXtal_BW#'!$A:$Z,21,FALSE)+VLOOKUP($A393,A:AL,31,FALSE)-50))</f>
        <v>217</v>
      </c>
      <c r="AE393" s="3">
        <v>238</v>
      </c>
      <c r="AF393" s="3">
        <f>IF(ISERROR((VLOOKUP($A393,'SegEnds_NonXtal_BW#'!$A:$Z,22,FALSE)+VLOOKUP($A393,A:AL,31,FALSE)-50)),"-",(VLOOKUP($A393,'SegEnds_NonXtal_BW#'!$A:$Z,22,FALSE)+VLOOKUP($A393,A:AL,31,FALSE)-50))</f>
        <v>249</v>
      </c>
      <c r="AG393" s="3">
        <f>IF(ISERROR(VLOOKUP($A393,'SegEnds_NonXtal_BW#'!$A:$Z,23,FALSE)+VLOOKUP($A393,A:AL,34,FALSE)-50),"-",(VLOOKUP($A393,'SegEnds_NonXtal_BW#'!$A:$Z,23,FALSE)+VLOOKUP($A393,A:AL,34,FALSE)-50))</f>
        <v>255</v>
      </c>
      <c r="AH393" s="3">
        <v>274</v>
      </c>
      <c r="AI393" s="3">
        <f>IF(ISERROR((VLOOKUP($A393,'SegEnds_NonXtal_BW#'!$A:$Z,24,FALSE)+VLOOKUP($A393,A:AL,34,FALSE)-50)),"-",(VLOOKUP($A393,'SegEnds_NonXtal_BW#'!$A:$Z,24,FALSE)+VLOOKUP($A393,A:AL,34,FALSE)-50))</f>
        <v>280</v>
      </c>
      <c r="AJ393" s="3">
        <f>IF(ISERROR(VLOOKUP($A393,'SegEnds_NonXtal_BW#'!$A:$Z,25,FALSE)+VLOOKUP($A393,A:AL,37,FALSE)-50),"-",(VLOOKUP($A393,'SegEnds_NonXtal_BW#'!$A:$Z,25,FALSE)+VLOOKUP($A393,A:AL,37,FALSE)-50))</f>
        <v>281</v>
      </c>
      <c r="AK393" s="3">
        <v>284</v>
      </c>
      <c r="AL393" s="3">
        <f>IF(ISERROR((VLOOKUP($A393,'SegEnds_NonXtal_BW#'!$A:$Z,26,FALSE)+VLOOKUP($A393,A:AL,37,FALSE)-50)),"-",(VLOOKUP($A393,'SegEnds_NonXtal_BW#'!$A:$Z,26,FALSE)+VLOOKUP($A393,A:AL,37,FALSE)-50))</f>
        <v>294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13</v>
      </c>
      <c r="BB393" s="16">
        <f t="shared" si="239"/>
        <v>30</v>
      </c>
      <c r="BC393" s="9">
        <f t="shared" si="240"/>
        <v>20</v>
      </c>
      <c r="BD393" s="3">
        <f t="shared" si="241"/>
        <v>30</v>
      </c>
      <c r="BE393" s="3">
        <f t="shared" si="242"/>
        <v>53</v>
      </c>
      <c r="BF393" s="3">
        <f t="shared" ref="BF393:BF417" si="276">AH393-AE393</f>
        <v>36</v>
      </c>
    </row>
    <row r="394" spans="1:58" s="3" customFormat="1" x14ac:dyDescent="0.2">
      <c r="A394" s="3" t="s">
        <v>453</v>
      </c>
      <c r="B394" s="3" t="str">
        <f>LOWER(VLOOKUP(A394,Xtal_Templ!A:B,2,FALSE))</f>
        <v>5ht2a_human</v>
      </c>
      <c r="C394" s="3">
        <f>VLOOKUP($A394,'SegEnds_NonXtal_BW#'!$A:$Z,3,FALSE)+D394-50</f>
        <v>6</v>
      </c>
      <c r="D394" s="3">
        <v>24</v>
      </c>
      <c r="E394" s="3">
        <f t="shared" si="271"/>
        <v>36</v>
      </c>
      <c r="F394" s="3">
        <f t="shared" si="272"/>
        <v>37</v>
      </c>
      <c r="G394" s="3">
        <v>39</v>
      </c>
      <c r="H394" s="3">
        <f t="shared" si="273"/>
        <v>40</v>
      </c>
      <c r="I394" s="3">
        <f t="shared" si="273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74"/>
        <v>116</v>
      </c>
      <c r="S394" s="3">
        <v>116</v>
      </c>
      <c r="T394" s="100">
        <f t="shared" si="275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222</v>
      </c>
      <c r="AE394" s="3">
        <v>243</v>
      </c>
      <c r="AF394" s="3">
        <f>IF(ISERROR((VLOOKUP($A394,'SegEnds_NonXtal_BW#'!$A:$Z,22,FALSE)+VLOOKUP($A394,A:AL,31,FALSE)-50)),"-",(VLOOKUP($A394,'SegEnds_NonXtal_BW#'!$A:$Z,22,FALSE)+VLOOKUP($A394,A:AL,31,FALSE)-50))</f>
        <v>254</v>
      </c>
      <c r="AG394" s="3">
        <f>IF(ISERROR(VLOOKUP($A394,'SegEnds_NonXtal_BW#'!$A:$Z,23,FALSE)+VLOOKUP($A394,A:AL,34,FALSE)-50),"-",(VLOOKUP($A394,'SegEnds_NonXtal_BW#'!$A:$Z,23,FALSE)+VLOOKUP($A394,A:AL,34,FALSE)-50))</f>
        <v>259</v>
      </c>
      <c r="AH394" s="3">
        <v>278</v>
      </c>
      <c r="AI394" s="3">
        <f>IF(ISERROR((VLOOKUP($A394,'SegEnds_NonXtal_BW#'!$A:$Z,24,FALSE)+VLOOKUP($A394,A:AL,34,FALSE)-50)),"-",(VLOOKUP($A394,'SegEnds_NonXtal_BW#'!$A:$Z,24,FALSE)+VLOOKUP($A394,A:AL,34,FALSE)-50))</f>
        <v>284</v>
      </c>
      <c r="AJ394" s="3">
        <f>IF(ISERROR(VLOOKUP($A394,'SegEnds_NonXtal_BW#'!$A:$Z,25,FALSE)+VLOOKUP($A394,A:AL,37,FALSE)-50),"-",(VLOOKUP($A394,'SegEnds_NonXtal_BW#'!$A:$Z,25,FALSE)+VLOOKUP($A394,A:AL,37,FALSE)-50))</f>
        <v>285</v>
      </c>
      <c r="AK394" s="3">
        <v>288</v>
      </c>
      <c r="AL394" s="3">
        <f>IF(ISERROR((VLOOKUP($A394,'SegEnds_NonXtal_BW#'!$A:$Z,26,FALSE)+VLOOKUP($A394,A:AL,37,FALSE)-50)),"-",(VLOOKUP($A394,'SegEnds_NonXtal_BW#'!$A:$Z,26,FALSE)+VLOOKUP($A394,A:AL,37,FALSE)-50))</f>
        <v>298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5</v>
      </c>
      <c r="AZ394" s="3">
        <f t="shared" si="238"/>
        <v>1</v>
      </c>
      <c r="BA394" s="3">
        <f>IF(ISERROR(LEN(VLOOKUP(A394,Seqs!A:E,2,FALSE))-AL394),"-",LEN(VLOOKUP(A394,Seqs!A:E,2,FALSE))-AL394)</f>
        <v>5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76"/>
        <v>35</v>
      </c>
    </row>
    <row r="395" spans="1:58" s="3" customFormat="1" x14ac:dyDescent="0.2">
      <c r="A395" s="3" t="s">
        <v>454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71"/>
        <v>36</v>
      </c>
      <c r="F395" s="3">
        <f t="shared" si="272"/>
        <v>37</v>
      </c>
      <c r="G395" s="3">
        <v>39</v>
      </c>
      <c r="H395" s="3">
        <f t="shared" si="273"/>
        <v>40</v>
      </c>
      <c r="I395" s="3">
        <f t="shared" si="273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74"/>
        <v>116</v>
      </c>
      <c r="S395" s="3">
        <v>116</v>
      </c>
      <c r="T395" s="100">
        <f t="shared" si="275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221</v>
      </c>
      <c r="AE395" s="3">
        <v>242</v>
      </c>
      <c r="AF395" s="3">
        <f>IF(ISERROR((VLOOKUP($A395,'SegEnds_NonXtal_BW#'!$A:$Z,22,FALSE)+VLOOKUP($A395,A:AL,31,FALSE)-50)),"-",(VLOOKUP($A395,'SegEnds_NonXtal_BW#'!$A:$Z,22,FALSE)+VLOOKUP($A395,A:AL,31,FALSE)-50))</f>
        <v>253</v>
      </c>
      <c r="AG395" s="3">
        <f>IF(ISERROR(VLOOKUP($A395,'SegEnds_NonXtal_BW#'!$A:$Z,23,FALSE)+VLOOKUP($A395,A:AL,34,FALSE)-50),"-",(VLOOKUP($A395,'SegEnds_NonXtal_BW#'!$A:$Z,23,FALSE)+VLOOKUP($A395,A:AL,34,FALSE)-50))</f>
        <v>258</v>
      </c>
      <c r="AH395" s="3">
        <v>277</v>
      </c>
      <c r="AI395" s="3">
        <f>IF(ISERROR((VLOOKUP($A395,'SegEnds_NonXtal_BW#'!$A:$Z,24,FALSE)+VLOOKUP($A395,A:AL,34,FALSE)-50)),"-",(VLOOKUP($A395,'SegEnds_NonXtal_BW#'!$A:$Z,24,FALSE)+VLOOKUP($A395,A:AL,34,FALSE)-50))</f>
        <v>283</v>
      </c>
      <c r="AJ395" s="3">
        <f>IF(ISERROR(VLOOKUP($A395,'SegEnds_NonXtal_BW#'!$A:$Z,25,FALSE)+VLOOKUP($A395,A:AL,37,FALSE)-50),"-",(VLOOKUP($A395,'SegEnds_NonXtal_BW#'!$A:$Z,25,FALSE)+VLOOKUP($A395,A:AL,37,FALSE)-50))</f>
        <v>284</v>
      </c>
      <c r="AK395" s="3">
        <v>287</v>
      </c>
      <c r="AL395" s="3">
        <f>IF(ISERROR((VLOOKUP($A395,'SegEnds_NonXtal_BW#'!$A:$Z,26,FALSE)+VLOOKUP($A395,A:AL,37,FALSE)-50)),"-",(VLOOKUP($A395,'SegEnds_NonXtal_BW#'!$A:$Z,26,FALSE)+VLOOKUP($A395,A:AL,37,FALSE)-50))</f>
        <v>297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9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20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52</v>
      </c>
      <c r="BF395" s="3">
        <f t="shared" si="276"/>
        <v>35</v>
      </c>
    </row>
    <row r="396" spans="1:58" s="3" customFormat="1" x14ac:dyDescent="0.2">
      <c r="A396" s="3" t="s">
        <v>455</v>
      </c>
      <c r="B396" s="3" t="str">
        <f>LOWER(VLOOKUP(A396,Xtal_Templ!A:B,2,FALSE))</f>
        <v>pd2r2_human</v>
      </c>
      <c r="C396" s="3">
        <f>VLOOKUP($A396,'SegEnds_NonXtal_BW#'!$A:$Z,3,FALSE)+D396-50</f>
        <v>7</v>
      </c>
      <c r="D396" s="3">
        <v>25</v>
      </c>
      <c r="E396" s="3">
        <f t="shared" si="271"/>
        <v>37</v>
      </c>
      <c r="F396" s="3">
        <f t="shared" si="272"/>
        <v>38</v>
      </c>
      <c r="G396" s="3">
        <v>40</v>
      </c>
      <c r="H396" s="3">
        <f t="shared" si="273"/>
        <v>41</v>
      </c>
      <c r="I396" s="3">
        <f t="shared" si="273"/>
        <v>42</v>
      </c>
      <c r="J396" s="3">
        <v>56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103</v>
      </c>
      <c r="Q396" s="3">
        <f>VLOOKUP($A396,'SegEnds_NonXtal_BW#'!$A:$Z,12,FALSE)+VLOOKUP($A396,A:AL,16,FALSE)-50</f>
        <v>109</v>
      </c>
      <c r="R396" s="3">
        <f t="shared" si="274"/>
        <v>112</v>
      </c>
      <c r="S396" s="3">
        <v>112</v>
      </c>
      <c r="T396" s="100">
        <f t="shared" si="275"/>
        <v>119</v>
      </c>
      <c r="U396" s="9">
        <f>IF(ISERROR(VLOOKUP($A396,'SegEnds_NonXtal_BW#'!$A:$Z,15,FALSE)+VLOOKUP($A396,A:AL,22,FALSE)-50),"-",VLOOKUP($A396,'SegEnds_NonXtal_BW#'!$A:$Z,15,FALSE)+VLOOKUP($A396,A:AL,22,FALSE)-50)</f>
        <v>120</v>
      </c>
      <c r="V396" s="3">
        <v>132</v>
      </c>
      <c r="W396" s="3">
        <f>IF(ISERROR(VLOOKUP($A396,'SegEnds_NonXtal_BW#'!$A:$Z,16,FALSE)+VLOOKUP($A396,A:AL,22,FALSE)-50),"-",(VLOOKUP($A396,'SegEnds_NonXtal_BW#'!$A:$Z,16,FALSE)+VLOOKUP($A396,A:AL,22,FALSE)-50))</f>
        <v>146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170</v>
      </c>
      <c r="AB396" s="3">
        <v>188</v>
      </c>
      <c r="AC396" s="3">
        <f>IF(ISERROR((VLOOKUP($A396,'SegEnds_NonXtal_BW#'!$A:$Z,20,FALSE)+VLOOKUP($A396,A:AL,28,FALSE)-50)),"-",(VLOOKUP($A396,'SegEnds_NonXtal_BW#'!$A:$Z,20,FALSE)+VLOOKUP($A396,A:AL,28,FALSE)-50))</f>
        <v>210</v>
      </c>
      <c r="AD396" s="3">
        <f>IF(ISERROR(VLOOKUP($A396,'SegEnds_NonXtal_BW#'!$A:$Z,21,FALSE)+VLOOKUP($A396,A:AL,31,FALSE)-50),"-",(VLOOKUP($A396,'SegEnds_NonXtal_BW#'!$A:$Z,21,FALSE)+VLOOKUP($A396,A:AL,31,FALSE)-50))</f>
        <v>217</v>
      </c>
      <c r="AE396" s="3">
        <v>238</v>
      </c>
      <c r="AF396" s="3">
        <f>IF(ISERROR((VLOOKUP($A396,'SegEnds_NonXtal_BW#'!$A:$Z,22,FALSE)+VLOOKUP($A396,A:AL,31,FALSE)-50)),"-",(VLOOKUP($A396,'SegEnds_NonXtal_BW#'!$A:$Z,22,FALSE)+VLOOKUP($A396,A:AL,31,FALSE)-50))</f>
        <v>249</v>
      </c>
      <c r="AG396" s="3">
        <f>IF(ISERROR(VLOOKUP($A396,'SegEnds_NonXtal_BW#'!$A:$Z,23,FALSE)+VLOOKUP($A396,A:AL,34,FALSE)-50),"-",(VLOOKUP($A396,'SegEnds_NonXtal_BW#'!$A:$Z,23,FALSE)+VLOOKUP($A396,A:AL,34,FALSE)-50))</f>
        <v>254</v>
      </c>
      <c r="AH396" s="3">
        <v>273</v>
      </c>
      <c r="AI396" s="3">
        <f>IF(ISERROR((VLOOKUP($A396,'SegEnds_NonXtal_BW#'!$A:$Z,24,FALSE)+VLOOKUP($A396,A:AL,34,FALSE)-50)),"-",(VLOOKUP($A396,'SegEnds_NonXtal_BW#'!$A:$Z,24,FALSE)+VLOOKUP($A396,A:AL,34,FALSE)-50))</f>
        <v>279</v>
      </c>
      <c r="AJ396" s="3">
        <f>IF(ISERROR(VLOOKUP($A396,'SegEnds_NonXtal_BW#'!$A:$Z,25,FALSE)+VLOOKUP($A396,A:AL,37,FALSE)-50),"-",(VLOOKUP($A396,'SegEnds_NonXtal_BW#'!$A:$Z,25,FALSE)+VLOOKUP($A396,A:AL,37,FALSE)-50))</f>
        <v>280</v>
      </c>
      <c r="AK396" s="3">
        <v>283</v>
      </c>
      <c r="AL396" s="3">
        <v>291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ref="AP396:AP417" si="277">IF(ISERROR(F396-E396),"-",F396-E396)</f>
        <v>1</v>
      </c>
      <c r="AQ396" s="3">
        <f t="shared" ref="AQ396:AQ417" si="278">IF(ISERROR(I396-H396),"-",I396-H396)</f>
        <v>1</v>
      </c>
      <c r="AR396" s="3" t="str">
        <f t="shared" ref="AR396:AR417" si="279">IF(ISERROR(L396-K396),"-",L396-K396)</f>
        <v>-</v>
      </c>
      <c r="AS396" s="3" t="str">
        <f t="shared" ref="AS396:AS417" si="280">IF(ISERROR(O396-N396),"-",O396-N396)</f>
        <v>-</v>
      </c>
      <c r="AT396" s="3">
        <f t="shared" ref="AT396:AT417" si="281">IF(ISERROR(R396-Q396),"-",R396-Q396)</f>
        <v>3</v>
      </c>
      <c r="AU396" s="3">
        <f t="shared" ref="AU396:AU417" si="282">IF(ISERROR(U396-T396),"-",U396-T396)</f>
        <v>1</v>
      </c>
      <c r="AV396" s="3" t="str">
        <f t="shared" ref="AV396:AV417" si="283">IF(ISERROR(X396-W396),"-",X396-W396)</f>
        <v>-</v>
      </c>
      <c r="AW396" s="3" t="str">
        <f t="shared" ref="AW396:AW417" si="284">IF(ISERROR(AA396-Z396),"-",AA396-Z396)</f>
        <v>-</v>
      </c>
      <c r="AX396" s="3">
        <f t="shared" ref="AX396:AX417" si="285">IF(ISERROR(AD396-AC396),"-",AD396-AC396)</f>
        <v>7</v>
      </c>
      <c r="AY396" s="3">
        <f t="shared" ref="AY396:AY417" si="286">IF(ISERROR(AG396-AF396),"-",AG396-AF396)</f>
        <v>5</v>
      </c>
      <c r="AZ396" s="3">
        <f t="shared" ref="AZ396:AZ417" si="287">IF(ISERROR(AJ396-AI396),"-",AJ396-AI396)</f>
        <v>1</v>
      </c>
      <c r="BA396" s="3">
        <f>IF(ISERROR(LEN(VLOOKUP(A396,Seqs!A:E,2,FALSE))-AL396),"-",LEN(VLOOKUP(A396,Seqs!A:E,2,FALSE))-AL396)</f>
        <v>0</v>
      </c>
      <c r="BB396" s="16">
        <f t="shared" ref="BB396:BB417" si="288">J396-D396</f>
        <v>31</v>
      </c>
      <c r="BC396" s="9">
        <f t="shared" ref="BC396:BC417" si="289">IF(ISERROR(V396-S396),"-",V396-S396)</f>
        <v>20</v>
      </c>
      <c r="BD396" s="3">
        <f t="shared" ref="BD396:BD417" si="290">J396-D396</f>
        <v>31</v>
      </c>
      <c r="BE396" s="3">
        <f t="shared" ref="BE396:BE417" si="291">AE396-AB396</f>
        <v>50</v>
      </c>
      <c r="BF396" s="3">
        <f t="shared" si="276"/>
        <v>35</v>
      </c>
    </row>
    <row r="397" spans="1:58" s="3" customFormat="1" x14ac:dyDescent="0.2">
      <c r="A397" s="3" t="s">
        <v>456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71"/>
        <v>36</v>
      </c>
      <c r="F397" s="3">
        <f t="shared" si="272"/>
        <v>37</v>
      </c>
      <c r="G397" s="3">
        <v>39</v>
      </c>
      <c r="H397" s="3">
        <f t="shared" si="273"/>
        <v>40</v>
      </c>
      <c r="I397" s="3">
        <f t="shared" si="273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74"/>
        <v>115</v>
      </c>
      <c r="S397" s="3">
        <v>115</v>
      </c>
      <c r="T397" s="100">
        <f t="shared" si="275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ref="AN397:AN417" si="292">AND(IF(Y397="-",IF(AA397-W397&gt;3,TRUE,FALSE),TRUE),IF(M397="-",IF(O397-K397&gt;3,TRUE,FALSE),TRUE),IF(AG397-AF397&gt;1,TRUE,FALS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    <v>1</v>
      </c>
      <c r="AO397" s="3" t="str">
        <f>IF(ISERROR(MATCH(A397,'SegEnds_Xtal_Prot#'!B:B, 0)), "NoXtal", "Xtal")</f>
        <v>NoXtal</v>
      </c>
      <c r="AP397" s="3">
        <f t="shared" si="277"/>
        <v>1</v>
      </c>
      <c r="AQ397" s="3">
        <f t="shared" si="278"/>
        <v>1</v>
      </c>
      <c r="AR397" s="3" t="str">
        <f t="shared" si="279"/>
        <v>-</v>
      </c>
      <c r="AS397" s="3" t="str">
        <f t="shared" si="280"/>
        <v>-</v>
      </c>
      <c r="AT397" s="3">
        <f t="shared" si="281"/>
        <v>3</v>
      </c>
      <c r="AU397" s="3">
        <f t="shared" si="282"/>
        <v>1</v>
      </c>
      <c r="AV397" s="3" t="str">
        <f t="shared" si="283"/>
        <v>-</v>
      </c>
      <c r="AW397" s="3" t="str">
        <f t="shared" si="284"/>
        <v>-</v>
      </c>
      <c r="AX397" s="3">
        <f t="shared" si="285"/>
        <v>10</v>
      </c>
      <c r="AY397" s="3">
        <f t="shared" si="286"/>
        <v>6</v>
      </c>
      <c r="AZ397" s="3">
        <f t="shared" si="287"/>
        <v>1</v>
      </c>
      <c r="BA397" s="3">
        <f>IF(ISERROR(LEN(VLOOKUP(A397,Seqs!A:E,2,FALSE))-AL397),"-",LEN(VLOOKUP(A397,Seqs!A:E,2,FALSE))-AL397)</f>
        <v>3</v>
      </c>
      <c r="BB397" s="16">
        <f t="shared" si="288"/>
        <v>31</v>
      </c>
      <c r="BC397" s="9">
        <f t="shared" si="289"/>
        <v>20</v>
      </c>
      <c r="BD397" s="3">
        <f t="shared" si="290"/>
        <v>31</v>
      </c>
      <c r="BE397" s="3">
        <f t="shared" si="291"/>
        <v>53</v>
      </c>
      <c r="BF397" s="3">
        <f t="shared" si="276"/>
        <v>36</v>
      </c>
    </row>
    <row r="398" spans="1:58" s="3" customFormat="1" x14ac:dyDescent="0.2">
      <c r="A398" s="3" t="s">
        <v>457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71"/>
        <v>36</v>
      </c>
      <c r="F398" s="3">
        <f t="shared" si="272"/>
        <v>37</v>
      </c>
      <c r="G398" s="3">
        <v>39</v>
      </c>
      <c r="H398" s="3">
        <f t="shared" si="273"/>
        <v>40</v>
      </c>
      <c r="I398" s="3">
        <f t="shared" si="273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74"/>
        <v>115</v>
      </c>
      <c r="S398" s="3">
        <v>115</v>
      </c>
      <c r="T398" s="100">
        <f t="shared" si="275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92"/>
        <v>1</v>
      </c>
      <c r="AO398" s="3" t="str">
        <f>IF(ISERROR(MATCH(A398,'SegEnds_Xtal_Prot#'!B:B, 0)), "NoXtal", "Xtal")</f>
        <v>NoXtal</v>
      </c>
      <c r="AP398" s="3">
        <f t="shared" si="277"/>
        <v>1</v>
      </c>
      <c r="AQ398" s="3">
        <f t="shared" si="278"/>
        <v>1</v>
      </c>
      <c r="AR398" s="3" t="str">
        <f t="shared" si="279"/>
        <v>-</v>
      </c>
      <c r="AS398" s="3" t="str">
        <f t="shared" si="280"/>
        <v>-</v>
      </c>
      <c r="AT398" s="3">
        <f t="shared" si="281"/>
        <v>3</v>
      </c>
      <c r="AU398" s="3">
        <f t="shared" si="282"/>
        <v>1</v>
      </c>
      <c r="AV398" s="3" t="str">
        <f t="shared" si="283"/>
        <v>-</v>
      </c>
      <c r="AW398" s="3" t="str">
        <f t="shared" si="284"/>
        <v>-</v>
      </c>
      <c r="AX398" s="3">
        <f t="shared" si="285"/>
        <v>10</v>
      </c>
      <c r="AY398" s="3">
        <f t="shared" si="286"/>
        <v>6</v>
      </c>
      <c r="AZ398" s="3">
        <f t="shared" si="287"/>
        <v>1</v>
      </c>
      <c r="BA398" s="3">
        <f>IF(ISERROR(LEN(VLOOKUP(A398,Seqs!A:E,2,FALSE))-AL398),"-",LEN(VLOOKUP(A398,Seqs!A:E,2,FALSE))-AL398)</f>
        <v>13</v>
      </c>
      <c r="BB398" s="16">
        <f t="shared" si="288"/>
        <v>31</v>
      </c>
      <c r="BC398" s="9">
        <f t="shared" si="289"/>
        <v>20</v>
      </c>
      <c r="BD398" s="3">
        <f t="shared" si="290"/>
        <v>31</v>
      </c>
      <c r="BE398" s="3">
        <f t="shared" si="291"/>
        <v>53</v>
      </c>
      <c r="BF398" s="3">
        <f t="shared" si="276"/>
        <v>36</v>
      </c>
    </row>
    <row r="399" spans="1:58" s="3" customFormat="1" x14ac:dyDescent="0.2">
      <c r="A399" s="3" t="s">
        <v>458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71"/>
        <v>36</v>
      </c>
      <c r="F399" s="3">
        <f t="shared" si="272"/>
        <v>37</v>
      </c>
      <c r="G399" s="3">
        <v>39</v>
      </c>
      <c r="H399" s="3">
        <f t="shared" si="273"/>
        <v>40</v>
      </c>
      <c r="I399" s="3">
        <f t="shared" si="273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74"/>
        <v>115</v>
      </c>
      <c r="S399" s="3">
        <v>115</v>
      </c>
      <c r="T399" s="100">
        <f t="shared" si="275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92"/>
        <v>1</v>
      </c>
      <c r="AO399" s="3" t="str">
        <f>IF(ISERROR(MATCH(A399,'SegEnds_Xtal_Prot#'!B:B, 0)), "NoXtal", "Xtal")</f>
        <v>NoXtal</v>
      </c>
      <c r="AP399" s="3">
        <f t="shared" si="277"/>
        <v>1</v>
      </c>
      <c r="AQ399" s="3">
        <f t="shared" si="278"/>
        <v>1</v>
      </c>
      <c r="AR399" s="3" t="str">
        <f t="shared" si="279"/>
        <v>-</v>
      </c>
      <c r="AS399" s="3" t="str">
        <f t="shared" si="280"/>
        <v>-</v>
      </c>
      <c r="AT399" s="3">
        <f t="shared" si="281"/>
        <v>3</v>
      </c>
      <c r="AU399" s="3">
        <f t="shared" si="282"/>
        <v>1</v>
      </c>
      <c r="AV399" s="3" t="str">
        <f t="shared" si="283"/>
        <v>-</v>
      </c>
      <c r="AW399" s="3" t="str">
        <f t="shared" si="284"/>
        <v>-</v>
      </c>
      <c r="AX399" s="3">
        <f t="shared" si="285"/>
        <v>10</v>
      </c>
      <c r="AY399" s="3">
        <f t="shared" si="286"/>
        <v>6</v>
      </c>
      <c r="AZ399" s="3">
        <f t="shared" si="287"/>
        <v>1</v>
      </c>
      <c r="BA399" s="3">
        <f>IF(ISERROR(LEN(VLOOKUP(A399,Seqs!A:E,2,FALSE))-AL399),"-",LEN(VLOOKUP(A399,Seqs!A:E,2,FALSE))-AL399)</f>
        <v>23</v>
      </c>
      <c r="BB399" s="16">
        <f t="shared" si="288"/>
        <v>31</v>
      </c>
      <c r="BC399" s="9">
        <f t="shared" si="289"/>
        <v>20</v>
      </c>
      <c r="BD399" s="3">
        <f t="shared" si="290"/>
        <v>31</v>
      </c>
      <c r="BE399" s="3">
        <f t="shared" si="291"/>
        <v>53</v>
      </c>
      <c r="BF399" s="3">
        <f t="shared" si="276"/>
        <v>36</v>
      </c>
    </row>
    <row r="400" spans="1:58" s="3" customFormat="1" x14ac:dyDescent="0.2">
      <c r="A400" s="3" t="s">
        <v>459</v>
      </c>
      <c r="B400" s="3" t="str">
        <f>LOWER(VLOOKUP(A400,Xtal_Templ!A:B,2,FALSE))</f>
        <v>agtr1_human</v>
      </c>
      <c r="C400" s="3">
        <f>VLOOKUP($A400,'SegEnds_NonXtal_BW#'!$A:$Z,3,FALSE)+D400-50</f>
        <v>6</v>
      </c>
      <c r="D400" s="3">
        <v>24</v>
      </c>
      <c r="E400" s="3">
        <f t="shared" si="271"/>
        <v>36</v>
      </c>
      <c r="F400" s="3">
        <f t="shared" si="272"/>
        <v>37</v>
      </c>
      <c r="G400" s="3">
        <v>39</v>
      </c>
      <c r="H400" s="3">
        <f t="shared" si="273"/>
        <v>40</v>
      </c>
      <c r="I400" s="3">
        <f t="shared" si="273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74"/>
        <v>115</v>
      </c>
      <c r="S400" s="3">
        <v>115</v>
      </c>
      <c r="T400" s="100">
        <f t="shared" si="275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149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92"/>
        <v>1</v>
      </c>
      <c r="AO400" s="3" t="str">
        <f>IF(ISERROR(MATCH(A400,'SegEnds_Xtal_Prot#'!B:B, 0)), "NoXtal", "Xtal")</f>
        <v>NoXtal</v>
      </c>
      <c r="AP400" s="3">
        <f t="shared" si="277"/>
        <v>1</v>
      </c>
      <c r="AQ400" s="3">
        <f t="shared" si="278"/>
        <v>1</v>
      </c>
      <c r="AR400" s="3" t="str">
        <f t="shared" si="279"/>
        <v>-</v>
      </c>
      <c r="AS400" s="3" t="str">
        <f t="shared" si="280"/>
        <v>-</v>
      </c>
      <c r="AT400" s="3">
        <f t="shared" si="281"/>
        <v>3</v>
      </c>
      <c r="AU400" s="3">
        <f t="shared" si="282"/>
        <v>1</v>
      </c>
      <c r="AV400" s="3" t="str">
        <f t="shared" si="283"/>
        <v>-</v>
      </c>
      <c r="AW400" s="3" t="str">
        <f t="shared" si="284"/>
        <v>-</v>
      </c>
      <c r="AX400" s="3">
        <f t="shared" si="285"/>
        <v>10</v>
      </c>
      <c r="AY400" s="3">
        <f t="shared" si="286"/>
        <v>6</v>
      </c>
      <c r="AZ400" s="3">
        <f t="shared" si="287"/>
        <v>1</v>
      </c>
      <c r="BA400" s="3">
        <f>IF(ISERROR(LEN(VLOOKUP(A400,Seqs!A:E,2,FALSE))-AL400),"-",LEN(VLOOKUP(A400,Seqs!A:E,2,FALSE))-AL400)</f>
        <v>13</v>
      </c>
      <c r="BB400" s="16">
        <f t="shared" si="288"/>
        <v>31</v>
      </c>
      <c r="BC400" s="9">
        <f t="shared" si="289"/>
        <v>20</v>
      </c>
      <c r="BD400" s="3">
        <f t="shared" si="290"/>
        <v>31</v>
      </c>
      <c r="BE400" s="3">
        <f t="shared" si="291"/>
        <v>53</v>
      </c>
      <c r="BF400" s="3">
        <f t="shared" si="276"/>
        <v>36</v>
      </c>
    </row>
    <row r="401" spans="1:58" s="3" customFormat="1" x14ac:dyDescent="0.2">
      <c r="A401" s="3" t="s">
        <v>460</v>
      </c>
      <c r="B401" s="3" t="str">
        <f>LOWER(VLOOKUP(A401,Xtal_Templ!A:B,2,FALSE))</f>
        <v>agtr1_human</v>
      </c>
      <c r="C401" s="3">
        <f>VLOOKUP($A401,'SegEnds_NonXtal_BW#'!$A:$Z,3,FALSE)+D401-50</f>
        <v>15</v>
      </c>
      <c r="D401" s="3">
        <v>33</v>
      </c>
      <c r="E401" s="3">
        <f t="shared" si="271"/>
        <v>45</v>
      </c>
      <c r="F401" s="3">
        <f t="shared" si="272"/>
        <v>46</v>
      </c>
      <c r="G401" s="3">
        <v>48</v>
      </c>
      <c r="H401" s="3">
        <f t="shared" si="273"/>
        <v>49</v>
      </c>
      <c r="I401" s="3">
        <f t="shared" si="273"/>
        <v>50</v>
      </c>
      <c r="J401" s="3">
        <v>64</v>
      </c>
      <c r="K401" s="3">
        <f>VLOOKUP($A401,'SegEnds_NonXtal_BW#'!$A:$Z,8,FALSE)+VLOOKUP($A401,A:AL,10,FALSE)-50</f>
        <v>81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85</v>
      </c>
      <c r="P401" s="3">
        <v>117</v>
      </c>
      <c r="Q401" s="3">
        <f>VLOOKUP($A401,'SegEnds_NonXtal_BW#'!$A:$Z,12,FALSE)+VLOOKUP($A401,A:AL,16,FALSE)-50</f>
        <v>123</v>
      </c>
      <c r="R401" s="3">
        <f t="shared" si="274"/>
        <v>126</v>
      </c>
      <c r="S401" s="3">
        <v>126</v>
      </c>
      <c r="T401" s="100">
        <f t="shared" si="275"/>
        <v>133</v>
      </c>
      <c r="U401" s="9">
        <f>IF(ISERROR(VLOOKUP($A401,'SegEnds_NonXtal_BW#'!$A:$Z,15,FALSE)+VLOOKUP($A401,A:AL,22,FALSE)-50),"-",VLOOKUP($A401,'SegEnds_NonXtal_BW#'!$A:$Z,15,FALSE)+VLOOKUP($A401,A:AL,22,FALSE)-50)</f>
        <v>134</v>
      </c>
      <c r="V401" s="3">
        <v>146</v>
      </c>
      <c r="W401" s="3">
        <f>IF(ISERROR(VLOOKUP($A401,'SegEnds_NonXtal_BW#'!$A:$Z,16,FALSE)+VLOOKUP($A401,A:AL,22,FALSE)-50),"-",(VLOOKUP($A401,'SegEnds_NonXtal_BW#'!$A:$Z,16,FALSE)+VLOOKUP($A401,A:AL,22,FALSE)-50))</f>
        <v>160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275</v>
      </c>
      <c r="AH401" s="3">
        <v>294</v>
      </c>
      <c r="AI401" s="3">
        <f>IF(ISERROR((VLOOKUP($A401,'SegEnds_NonXtal_BW#'!$A:$Z,24,FALSE)+VLOOKUP($A401,A:AL,34,FALSE)-50)),"-",(VLOOKUP($A401,'SegEnds_NonXtal_BW#'!$A:$Z,24,FALSE)+VLOOKUP($A401,A:AL,34,FALSE)-50))</f>
        <v>300</v>
      </c>
      <c r="AJ401" s="3">
        <f>IF(ISERROR(VLOOKUP($A401,'SegEnds_NonXtal_BW#'!$A:$Z,25,FALSE)+VLOOKUP($A401,A:AL,37,FALSE)-50),"-",(VLOOKUP($A401,'SegEnds_NonXtal_BW#'!$A:$Z,25,FALSE)+VLOOKUP($A401,A:AL,37,FALSE)-50))</f>
        <v>301</v>
      </c>
      <c r="AK401" s="3">
        <v>304</v>
      </c>
      <c r="AL401" s="3">
        <f>IF(ISERROR((VLOOKUP($A401,'SegEnds_NonXtal_BW#'!$A:$Z,26,FALSE)+VLOOKUP($A401,A:AL,37,FALSE)-50)),"-",(VLOOKUP($A401,'SegEnds_NonXtal_BW#'!$A:$Z,26,FALSE)+VLOOKUP($A401,A:AL,37,FALSE)-50))</f>
        <v>314</v>
      </c>
      <c r="AM401" s="28" t="str">
        <f>VLOOKUP(A401,Classification!A:B,2,FALSE)</f>
        <v>T</v>
      </c>
      <c r="AN401" s="28" t="b">
        <f t="shared" si="292"/>
        <v>1</v>
      </c>
      <c r="AO401" s="3" t="str">
        <f>IF(ISERROR(MATCH(A401,'SegEnds_Xtal_Prot#'!B:B, 0)), "NoXtal", "Xtal")</f>
        <v>NoXtal</v>
      </c>
      <c r="AP401" s="3">
        <f t="shared" si="277"/>
        <v>1</v>
      </c>
      <c r="AQ401" s="3">
        <f t="shared" si="278"/>
        <v>1</v>
      </c>
      <c r="AR401" s="3" t="str">
        <f t="shared" si="279"/>
        <v>-</v>
      </c>
      <c r="AS401" s="3" t="str">
        <f t="shared" si="280"/>
        <v>-</v>
      </c>
      <c r="AT401" s="3">
        <f t="shared" si="281"/>
        <v>3</v>
      </c>
      <c r="AU401" s="3">
        <f t="shared" si="282"/>
        <v>1</v>
      </c>
      <c r="AV401" s="3" t="str">
        <f t="shared" si="283"/>
        <v>-</v>
      </c>
      <c r="AW401" s="3" t="str">
        <f t="shared" si="284"/>
        <v>-</v>
      </c>
      <c r="AX401" s="3">
        <f t="shared" si="285"/>
        <v>10</v>
      </c>
      <c r="AY401" s="3">
        <f t="shared" si="286"/>
        <v>6</v>
      </c>
      <c r="AZ401" s="3">
        <f t="shared" si="287"/>
        <v>1</v>
      </c>
      <c r="BA401" s="3">
        <f>IF(ISERROR(LEN(VLOOKUP(A401,Seqs!A:E,2,FALSE))-AL401),"-",LEN(VLOOKUP(A401,Seqs!A:E,2,FALSE))-AL401)</f>
        <v>19</v>
      </c>
      <c r="BB401" s="16">
        <f t="shared" si="288"/>
        <v>31</v>
      </c>
      <c r="BC401" s="9">
        <f t="shared" si="289"/>
        <v>20</v>
      </c>
      <c r="BD401" s="3">
        <f t="shared" si="290"/>
        <v>31</v>
      </c>
      <c r="BE401" s="3">
        <f t="shared" si="291"/>
        <v>53</v>
      </c>
      <c r="BF401" s="3">
        <f t="shared" si="276"/>
        <v>36</v>
      </c>
    </row>
    <row r="402" spans="1:58" s="3" customFormat="1" x14ac:dyDescent="0.2">
      <c r="A402" s="3" t="s">
        <v>461</v>
      </c>
      <c r="B402" s="3" t="str">
        <f>LOWER(VLOOKUP(A402,Xtal_Templ!A:B,2,FALSE))</f>
        <v>agtr1_human</v>
      </c>
      <c r="C402" s="3">
        <f>VLOOKUP($A402,'SegEnds_NonXtal_BW#'!$A:$Z,3,FALSE)+D402-50</f>
        <v>34</v>
      </c>
      <c r="D402" s="3">
        <v>52</v>
      </c>
      <c r="E402" s="3">
        <f t="shared" si="271"/>
        <v>64</v>
      </c>
      <c r="F402" s="3">
        <f t="shared" si="272"/>
        <v>65</v>
      </c>
      <c r="G402" s="3">
        <v>67</v>
      </c>
      <c r="H402" s="3">
        <f t="shared" si="273"/>
        <v>68</v>
      </c>
      <c r="I402" s="3">
        <f t="shared" si="273"/>
        <v>69</v>
      </c>
      <c r="J402" s="3">
        <v>83</v>
      </c>
      <c r="K402" s="3">
        <f>VLOOKUP($A402,'SegEnds_NonXtal_BW#'!$A:$Z,8,FALSE)+VLOOKUP($A402,A:AL,10,FALSE)-50</f>
        <v>99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103</v>
      </c>
      <c r="P402" s="3">
        <v>135</v>
      </c>
      <c r="Q402" s="3">
        <f>VLOOKUP($A402,'SegEnds_NonXtal_BW#'!$A:$Z,12,FALSE)+VLOOKUP($A402,A:AL,16,FALSE)-50</f>
        <v>141</v>
      </c>
      <c r="R402" s="3">
        <f t="shared" si="274"/>
        <v>144</v>
      </c>
      <c r="S402" s="3">
        <v>144</v>
      </c>
      <c r="T402" s="100">
        <f t="shared" si="275"/>
        <v>151</v>
      </c>
      <c r="U402" s="9">
        <f>IF(ISERROR(VLOOKUP($A402,'SegEnds_NonXtal_BW#'!$A:$Z,15,FALSE)+VLOOKUP($A402,A:AL,22,FALSE)-50),"-",VLOOKUP($A402,'SegEnds_NonXtal_BW#'!$A:$Z,15,FALSE)+VLOOKUP($A402,A:AL,22,FALSE)-50)</f>
        <v>152</v>
      </c>
      <c r="V402" s="3">
        <v>164</v>
      </c>
      <c r="W402" s="3">
        <f>IF(ISERROR(VLOOKUP($A402,'SegEnds_NonXtal_BW#'!$A:$Z,16,FALSE)+VLOOKUP($A402,A:AL,22,FALSE)-50),"-",(VLOOKUP($A402,'SegEnds_NonXtal_BW#'!$A:$Z,16,FALSE)+VLOOKUP($A402,A:AL,22,FALSE)-50))</f>
        <v>178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202</v>
      </c>
      <c r="AB402" s="3">
        <v>220</v>
      </c>
      <c r="AC402" s="3">
        <f>IF(ISERROR((VLOOKUP($A402,'SegEnds_NonXtal_BW#'!$A:$Z,20,FALSE)+VLOOKUP($A402,A:AL,28,FALSE)-50)),"-",(VLOOKUP($A402,'SegEnds_NonXtal_BW#'!$A:$Z,20,FALSE)+VLOOKUP($A402,A:AL,28,FALSE)-50))</f>
        <v>242</v>
      </c>
      <c r="AD402" s="3">
        <f>IF(ISERROR(VLOOKUP($A402,'SegEnds_NonXtal_BW#'!$A:$Z,21,FALSE)+VLOOKUP($A402,A:AL,31,FALSE)-50),"-",(VLOOKUP($A402,'SegEnds_NonXtal_BW#'!$A:$Z,21,FALSE)+VLOOKUP($A402,A:AL,31,FALSE)-50))</f>
        <v>252</v>
      </c>
      <c r="AE402" s="3">
        <v>273</v>
      </c>
      <c r="AF402" s="3">
        <f>IF(ISERROR((VLOOKUP($A402,'SegEnds_NonXtal_BW#'!$A:$Z,22,FALSE)+VLOOKUP($A402,A:AL,31,FALSE)-50)),"-",(VLOOKUP($A402,'SegEnds_NonXtal_BW#'!$A:$Z,22,FALSE)+VLOOKUP($A402,A:AL,31,FALSE)-50))</f>
        <v>284</v>
      </c>
      <c r="AG402" s="3">
        <f>IF(ISERROR(VLOOKUP($A402,'SegEnds_NonXtal_BW#'!$A:$Z,23,FALSE)+VLOOKUP($A402,A:AL,34,FALSE)-50),"-",(VLOOKUP($A402,'SegEnds_NonXtal_BW#'!$A:$Z,23,FALSE)+VLOOKUP($A402,A:AL,34,FALSE)-50))</f>
        <v>289</v>
      </c>
      <c r="AH402" s="3">
        <v>308</v>
      </c>
      <c r="AI402" s="3">
        <f>IF(ISERROR((VLOOKUP($A402,'SegEnds_NonXtal_BW#'!$A:$Z,24,FALSE)+VLOOKUP($A402,A:AL,34,FALSE)-50)),"-",(VLOOKUP($A402,'SegEnds_NonXtal_BW#'!$A:$Z,24,FALSE)+VLOOKUP($A402,A:AL,34,FALSE)-50))</f>
        <v>314</v>
      </c>
      <c r="AJ402" s="3">
        <f>IF(ISERROR(VLOOKUP($A402,'SegEnds_NonXtal_BW#'!$A:$Z,25,FALSE)+VLOOKUP($A402,A:AL,37,FALSE)-50),"-",(VLOOKUP($A402,'SegEnds_NonXtal_BW#'!$A:$Z,25,FALSE)+VLOOKUP($A402,A:AL,37,FALSE)-50))</f>
        <v>315</v>
      </c>
      <c r="AK402" s="3">
        <v>318</v>
      </c>
      <c r="AL402" s="3">
        <f>IF(ISERROR((VLOOKUP($A402,'SegEnds_NonXtal_BW#'!$A:$Z,26,FALSE)+VLOOKUP($A402,A:AL,37,FALSE)-50)),"-",(VLOOKUP($A402,'SegEnds_NonXtal_BW#'!$A:$Z,26,FALSE)+VLOOKUP($A402,A:AL,37,FALSE)-50))</f>
        <v>328</v>
      </c>
      <c r="AM402" s="28" t="str">
        <f>VLOOKUP(A402,Classification!A:B,2,FALSE)</f>
        <v>T</v>
      </c>
      <c r="AN402" s="28" t="b">
        <f t="shared" si="292"/>
        <v>1</v>
      </c>
      <c r="AO402" s="3" t="str">
        <f>IF(ISERROR(MATCH(A402,'SegEnds_Xtal_Prot#'!B:B, 0)), "NoXtal", "Xtal")</f>
        <v>NoXtal</v>
      </c>
      <c r="AP402" s="3">
        <f t="shared" si="277"/>
        <v>1</v>
      </c>
      <c r="AQ402" s="3">
        <f t="shared" si="278"/>
        <v>1</v>
      </c>
      <c r="AR402" s="3" t="str">
        <f t="shared" si="279"/>
        <v>-</v>
      </c>
      <c r="AS402" s="3" t="str">
        <f t="shared" si="280"/>
        <v>-</v>
      </c>
      <c r="AT402" s="3">
        <f t="shared" si="281"/>
        <v>3</v>
      </c>
      <c r="AU402" s="3">
        <f t="shared" si="282"/>
        <v>1</v>
      </c>
      <c r="AV402" s="3" t="str">
        <f t="shared" si="283"/>
        <v>-</v>
      </c>
      <c r="AW402" s="3" t="str">
        <f t="shared" si="284"/>
        <v>-</v>
      </c>
      <c r="AX402" s="3">
        <f t="shared" si="285"/>
        <v>10</v>
      </c>
      <c r="AY402" s="3">
        <f t="shared" si="286"/>
        <v>5</v>
      </c>
      <c r="AZ402" s="3">
        <f t="shared" si="287"/>
        <v>1</v>
      </c>
      <c r="BA402" s="3">
        <f>IF(ISERROR(LEN(VLOOKUP(A402,Seqs!A:E,2,FALSE))-AL402),"-",LEN(VLOOKUP(A402,Seqs!A:E,2,FALSE))-AL402)</f>
        <v>10</v>
      </c>
      <c r="BB402" s="16">
        <f t="shared" si="288"/>
        <v>31</v>
      </c>
      <c r="BC402" s="9">
        <f t="shared" si="289"/>
        <v>20</v>
      </c>
      <c r="BD402" s="3">
        <f t="shared" si="290"/>
        <v>31</v>
      </c>
      <c r="BE402" s="3">
        <f t="shared" si="291"/>
        <v>53</v>
      </c>
      <c r="BF402" s="3">
        <f t="shared" si="276"/>
        <v>35</v>
      </c>
    </row>
    <row r="403" spans="1:58" s="3" customFormat="1" x14ac:dyDescent="0.2">
      <c r="A403" s="3" t="s">
        <v>462</v>
      </c>
      <c r="B403" s="3" t="str">
        <f>LOWER(VLOOKUP(A403,Xtal_Templ!A:B,2,FALSE))</f>
        <v>5ht2a_human</v>
      </c>
      <c r="C403" s="3">
        <f>VLOOKUP($A403,'SegEnds_NonXtal_BW#'!$A:$Z,3,FALSE)+D403-50</f>
        <v>18</v>
      </c>
      <c r="D403" s="3">
        <v>36</v>
      </c>
      <c r="E403" s="3">
        <f t="shared" si="271"/>
        <v>48</v>
      </c>
      <c r="F403" s="3">
        <f t="shared" si="272"/>
        <v>49</v>
      </c>
      <c r="G403" s="3">
        <v>51</v>
      </c>
      <c r="H403" s="3">
        <f t="shared" si="273"/>
        <v>52</v>
      </c>
      <c r="I403" s="3">
        <f t="shared" si="273"/>
        <v>53</v>
      </c>
      <c r="J403" s="3">
        <v>67</v>
      </c>
      <c r="K403" s="3">
        <f>VLOOKUP($A403,'SegEnds_NonXtal_BW#'!$A:$Z,8,FALSE)+VLOOKUP($A403,A:AL,10,FALSE)-50</f>
        <v>83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87</v>
      </c>
      <c r="P403" s="3">
        <v>119</v>
      </c>
      <c r="Q403" s="3">
        <f>VLOOKUP($A403,'SegEnds_NonXtal_BW#'!$A:$Z,12,FALSE)+VLOOKUP($A403,A:AL,16,FALSE)-50</f>
        <v>125</v>
      </c>
      <c r="R403" s="3">
        <f t="shared" si="274"/>
        <v>128</v>
      </c>
      <c r="S403" s="3">
        <v>128</v>
      </c>
      <c r="T403" s="100">
        <f t="shared" si="275"/>
        <v>135</v>
      </c>
      <c r="U403" s="9">
        <f>IF(ISERROR(VLOOKUP($A403,'SegEnds_NonXtal_BW#'!$A:$Z,15,FALSE)+VLOOKUP($A403,A:AL,22,FALSE)-50),"-",VLOOKUP($A403,'SegEnds_NonXtal_BW#'!$A:$Z,15,FALSE)+VLOOKUP($A403,A:AL,22,FALSE)-50)</f>
        <v>136</v>
      </c>
      <c r="V403" s="3">
        <v>148</v>
      </c>
      <c r="W403" s="3">
        <f>IF(ISERROR(VLOOKUP($A403,'SegEnds_NonXtal_BW#'!$A:$Z,16,FALSE)+VLOOKUP($A403,A:AL,22,FALSE)-50),"-",(VLOOKUP($A403,'SegEnds_NonXtal_BW#'!$A:$Z,16,FALSE)+VLOOKUP($A403,A:AL,22,FALSE)-50))</f>
        <v>165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187</v>
      </c>
      <c r="AB403" s="3">
        <v>205</v>
      </c>
      <c r="AC403" s="3">
        <f>IF(ISERROR((VLOOKUP($A403,'SegEnds_NonXtal_BW#'!$A:$Z,20,FALSE)+VLOOKUP($A403,A:AL,28,FALSE)-50)),"-",(VLOOKUP($A403,'SegEnds_NonXtal_BW#'!$A:$Z,20,FALSE)+VLOOKUP($A403,A:AL,28,FALSE)-50))</f>
        <v>227</v>
      </c>
      <c r="AD403" s="3">
        <f>IF(ISERROR(VLOOKUP($A403,'SegEnds_NonXtal_BW#'!$A:$Z,21,FALSE)+VLOOKUP($A403,A:AL,31,FALSE)-50),"-",(VLOOKUP($A403,'SegEnds_NonXtal_BW#'!$A:$Z,21,FALSE)+VLOOKUP($A403,A:AL,31,FALSE)-50))</f>
        <v>237</v>
      </c>
      <c r="AE403" s="3">
        <v>258</v>
      </c>
      <c r="AF403" s="3">
        <f>IF(ISERROR((VLOOKUP($A403,'SegEnds_NonXtal_BW#'!$A:$Z,22,FALSE)+VLOOKUP($A403,A:AL,31,FALSE)-50)),"-",(VLOOKUP($A403,'SegEnds_NonXtal_BW#'!$A:$Z,22,FALSE)+VLOOKUP($A403,A:AL,31,FALSE)-50))</f>
        <v>269</v>
      </c>
      <c r="AG403" s="3">
        <f>IF(ISERROR(VLOOKUP($A403,'SegEnds_NonXtal_BW#'!$A:$Z,23,FALSE)+VLOOKUP($A403,A:AL,34,FALSE)-50),"-",(VLOOKUP($A403,'SegEnds_NonXtal_BW#'!$A:$Z,23,FALSE)+VLOOKUP($A403,A:AL,34,FALSE)-50))</f>
        <v>274</v>
      </c>
      <c r="AH403" s="3">
        <v>293</v>
      </c>
      <c r="AI403" s="3">
        <f>IF(ISERROR((VLOOKUP($A403,'SegEnds_NonXtal_BW#'!$A:$Z,24,FALSE)+VLOOKUP($A403,A:AL,34,FALSE)-50)),"-",(VLOOKUP($A403,'SegEnds_NonXtal_BW#'!$A:$Z,24,FALSE)+VLOOKUP($A403,A:AL,34,FALSE)-50))</f>
        <v>299</v>
      </c>
      <c r="AJ403" s="3">
        <f>IF(ISERROR(VLOOKUP($A403,'SegEnds_NonXtal_BW#'!$A:$Z,25,FALSE)+VLOOKUP($A403,A:AL,37,FALSE)-50),"-",(VLOOKUP($A403,'SegEnds_NonXtal_BW#'!$A:$Z,25,FALSE)+VLOOKUP($A403,A:AL,37,FALSE)-50))</f>
        <v>300</v>
      </c>
      <c r="AK403" s="3">
        <v>303</v>
      </c>
      <c r="AL403" s="3">
        <f>IF(ISERROR((VLOOKUP($A403,'SegEnds_NonXtal_BW#'!$A:$Z,26,FALSE)+VLOOKUP($A403,A:AL,37,FALSE)-50)),"-",(VLOOKUP($A403,'SegEnds_NonXtal_BW#'!$A:$Z,26,FALSE)+VLOOKUP($A403,A:AL,37,FALSE)-50))</f>
        <v>313</v>
      </c>
      <c r="AM403" s="28" t="str">
        <f>VLOOKUP(A403,Classification!A:B,2,FALSE)</f>
        <v>T</v>
      </c>
      <c r="AN403" s="28" t="b">
        <f t="shared" si="292"/>
        <v>1</v>
      </c>
      <c r="AO403" s="3" t="str">
        <f>IF(ISERROR(MATCH(A403,'SegEnds_Xtal_Prot#'!B:B, 0)), "NoXtal", "Xtal")</f>
        <v>NoXtal</v>
      </c>
      <c r="AP403" s="3">
        <f t="shared" si="277"/>
        <v>1</v>
      </c>
      <c r="AQ403" s="3">
        <f t="shared" si="278"/>
        <v>1</v>
      </c>
      <c r="AR403" s="3" t="str">
        <f t="shared" si="279"/>
        <v>-</v>
      </c>
      <c r="AS403" s="3" t="str">
        <f t="shared" si="280"/>
        <v>-</v>
      </c>
      <c r="AT403" s="3">
        <f t="shared" si="281"/>
        <v>3</v>
      </c>
      <c r="AU403" s="3">
        <f t="shared" si="282"/>
        <v>1</v>
      </c>
      <c r="AV403" s="3" t="str">
        <f t="shared" si="283"/>
        <v>-</v>
      </c>
      <c r="AW403" s="3" t="str">
        <f t="shared" si="284"/>
        <v>-</v>
      </c>
      <c r="AX403" s="3">
        <f t="shared" si="285"/>
        <v>10</v>
      </c>
      <c r="AY403" s="3">
        <f t="shared" si="286"/>
        <v>5</v>
      </c>
      <c r="AZ403" s="3">
        <f t="shared" si="287"/>
        <v>1</v>
      </c>
      <c r="BA403" s="3">
        <f>IF(ISERROR(LEN(VLOOKUP(A403,Seqs!A:E,2,FALSE))-AL403),"-",LEN(VLOOKUP(A403,Seqs!A:E,2,FALSE))-AL403)</f>
        <v>10</v>
      </c>
      <c r="BB403" s="16">
        <f t="shared" si="288"/>
        <v>31</v>
      </c>
      <c r="BC403" s="9">
        <f t="shared" si="289"/>
        <v>20</v>
      </c>
      <c r="BD403" s="3">
        <f t="shared" si="290"/>
        <v>31</v>
      </c>
      <c r="BE403" s="3">
        <f t="shared" si="291"/>
        <v>53</v>
      </c>
      <c r="BF403" s="3">
        <f t="shared" si="276"/>
        <v>35</v>
      </c>
    </row>
    <row r="404" spans="1:58" s="3" customFormat="1" x14ac:dyDescent="0.2">
      <c r="A404" s="3" t="s">
        <v>463</v>
      </c>
      <c r="B404" s="3" t="str">
        <f>LOWER(VLOOKUP(A404,Xtal_Templ!A:B,2,FALSE))</f>
        <v>drd2_human</v>
      </c>
      <c r="C404" s="3">
        <f>VLOOKUP($A404,'SegEnds_NonXtal_BW#'!$A:$Z,3,FALSE)+D404-50</f>
        <v>6</v>
      </c>
      <c r="D404" s="3">
        <v>24</v>
      </c>
      <c r="E404" s="3">
        <f t="shared" si="271"/>
        <v>36</v>
      </c>
      <c r="F404" s="3">
        <f t="shared" si="272"/>
        <v>37</v>
      </c>
      <c r="G404" s="3">
        <v>39</v>
      </c>
      <c r="H404" s="3">
        <f t="shared" si="273"/>
        <v>40</v>
      </c>
      <c r="I404" s="3">
        <f t="shared" si="273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74"/>
        <v>116</v>
      </c>
      <c r="S404" s="3">
        <v>116</v>
      </c>
      <c r="T404" s="100">
        <f t="shared" si="275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261</v>
      </c>
      <c r="AH404" s="3">
        <v>280</v>
      </c>
      <c r="AI404" s="3">
        <f>IF(ISERROR((VLOOKUP($A404,'SegEnds_NonXtal_BW#'!$A:$Z,24,FALSE)+VLOOKUP($A404,A:AL,34,FALSE)-50)),"-",(VLOOKUP($A404,'SegEnds_NonXtal_BW#'!$A:$Z,24,FALSE)+VLOOKUP($A404,A:AL,34,FALSE)-50))</f>
        <v>286</v>
      </c>
      <c r="AJ404" s="3">
        <f>IF(ISERROR(VLOOKUP($A404,'SegEnds_NonXtal_BW#'!$A:$Z,25,FALSE)+VLOOKUP($A404,A:AL,37,FALSE)-50),"-",(VLOOKUP($A404,'SegEnds_NonXtal_BW#'!$A:$Z,25,FALSE)+VLOOKUP($A404,A:AL,37,FALSE)-50))</f>
        <v>287</v>
      </c>
      <c r="AK404" s="3">
        <v>290</v>
      </c>
      <c r="AL404" s="3">
        <f>IF(ISERROR((VLOOKUP($A404,'SegEnds_NonXtal_BW#'!$A:$Z,26,FALSE)+VLOOKUP($A404,A:AL,37,FALSE)-50)),"-",(VLOOKUP($A404,'SegEnds_NonXtal_BW#'!$A:$Z,26,FALSE)+VLOOKUP($A404,A:AL,37,FALSE)-50))</f>
        <v>300</v>
      </c>
      <c r="AM404" s="28" t="str">
        <f>VLOOKUP(A404,Classification!A:B,2,FALSE)</f>
        <v>T</v>
      </c>
      <c r="AN404" s="28" t="b">
        <f t="shared" si="292"/>
        <v>1</v>
      </c>
      <c r="AO404" s="3" t="str">
        <f>IF(ISERROR(MATCH(A404,'SegEnds_Xtal_Prot#'!B:B, 0)), "NoXtal", "Xtal")</f>
        <v>NoXtal</v>
      </c>
      <c r="AP404" s="3">
        <f t="shared" si="277"/>
        <v>1</v>
      </c>
      <c r="AQ404" s="3">
        <f t="shared" si="278"/>
        <v>1</v>
      </c>
      <c r="AR404" s="3" t="str">
        <f t="shared" si="279"/>
        <v>-</v>
      </c>
      <c r="AS404" s="3" t="str">
        <f t="shared" si="280"/>
        <v>-</v>
      </c>
      <c r="AT404" s="3">
        <f t="shared" si="281"/>
        <v>3</v>
      </c>
      <c r="AU404" s="3">
        <f t="shared" si="282"/>
        <v>1</v>
      </c>
      <c r="AV404" s="3" t="str">
        <f t="shared" si="283"/>
        <v>-</v>
      </c>
      <c r="AW404" s="3" t="str">
        <f t="shared" si="284"/>
        <v>-</v>
      </c>
      <c r="AX404" s="3">
        <f t="shared" si="285"/>
        <v>10</v>
      </c>
      <c r="AY404" s="3">
        <f t="shared" si="286"/>
        <v>5</v>
      </c>
      <c r="AZ404" s="3">
        <f t="shared" si="287"/>
        <v>1</v>
      </c>
      <c r="BA404" s="3">
        <f>IF(ISERROR(LEN(VLOOKUP(A404,Seqs!A:E,2,FALSE))-AL404),"-",LEN(VLOOKUP(A404,Seqs!A:E,2,FALSE))-AL404)</f>
        <v>7</v>
      </c>
      <c r="BB404" s="16">
        <f t="shared" si="288"/>
        <v>31</v>
      </c>
      <c r="BC404" s="9">
        <f t="shared" si="289"/>
        <v>20</v>
      </c>
      <c r="BD404" s="3">
        <f t="shared" si="290"/>
        <v>31</v>
      </c>
      <c r="BE404" s="3">
        <f t="shared" si="291"/>
        <v>53</v>
      </c>
      <c r="BF404" s="3">
        <f t="shared" si="276"/>
        <v>35</v>
      </c>
    </row>
    <row r="405" spans="1:58" s="3" customFormat="1" x14ac:dyDescent="0.2">
      <c r="A405" s="3" t="s">
        <v>464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71"/>
        <v>36</v>
      </c>
      <c r="F405" s="3">
        <f t="shared" si="272"/>
        <v>37</v>
      </c>
      <c r="G405" s="3">
        <v>39</v>
      </c>
      <c r="H405" s="3">
        <f t="shared" si="273"/>
        <v>40</v>
      </c>
      <c r="I405" s="3">
        <f t="shared" si="273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74"/>
        <v>116</v>
      </c>
      <c r="S405" s="3">
        <v>116</v>
      </c>
      <c r="T405" s="100">
        <f t="shared" si="275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262</v>
      </c>
      <c r="AH405" s="3">
        <v>281</v>
      </c>
      <c r="AI405" s="3">
        <f>IF(ISERROR((VLOOKUP($A405,'SegEnds_NonXtal_BW#'!$A:$Z,24,FALSE)+VLOOKUP($A405,A:AL,34,FALSE)-50)),"-",(VLOOKUP($A405,'SegEnds_NonXtal_BW#'!$A:$Z,24,FALSE)+VLOOKUP($A405,A:AL,34,FALSE)-50))</f>
        <v>287</v>
      </c>
      <c r="AJ405" s="3">
        <f>IF(ISERROR(VLOOKUP($A405,'SegEnds_NonXtal_BW#'!$A:$Z,25,FALSE)+VLOOKUP($A405,A:AL,37,FALSE)-50),"-",(VLOOKUP($A405,'SegEnds_NonXtal_BW#'!$A:$Z,25,FALSE)+VLOOKUP($A405,A:AL,37,FALSE)-50))</f>
        <v>288</v>
      </c>
      <c r="AK405" s="3">
        <v>291</v>
      </c>
      <c r="AL405" s="3">
        <f>IF(ISERROR((VLOOKUP($A405,'SegEnds_NonXtal_BW#'!$A:$Z,26,FALSE)+VLOOKUP($A405,A:AL,37,FALSE)-50)),"-",(VLOOKUP($A405,'SegEnds_NonXtal_BW#'!$A:$Z,26,FALSE)+VLOOKUP($A405,A:AL,37,FALSE)-50))</f>
        <v>301</v>
      </c>
      <c r="AM405" s="28" t="str">
        <f>VLOOKUP(A405,Classification!A:B,2,FALSE)</f>
        <v>T</v>
      </c>
      <c r="AN405" s="28" t="b">
        <f t="shared" si="292"/>
        <v>1</v>
      </c>
      <c r="AO405" s="3" t="str">
        <f>IF(ISERROR(MATCH(A405,'SegEnds_Xtal_Prot#'!B:B, 0)), "NoXtal", "Xtal")</f>
        <v>NoXtal</v>
      </c>
      <c r="AP405" s="3">
        <f t="shared" si="277"/>
        <v>1</v>
      </c>
      <c r="AQ405" s="3">
        <f t="shared" si="278"/>
        <v>1</v>
      </c>
      <c r="AR405" s="3" t="str">
        <f t="shared" si="279"/>
        <v>-</v>
      </c>
      <c r="AS405" s="3" t="str">
        <f t="shared" si="280"/>
        <v>-</v>
      </c>
      <c r="AT405" s="3">
        <f t="shared" si="281"/>
        <v>3</v>
      </c>
      <c r="AU405" s="3">
        <f t="shared" si="282"/>
        <v>1</v>
      </c>
      <c r="AV405" s="3" t="str">
        <f t="shared" si="283"/>
        <v>-</v>
      </c>
      <c r="AW405" s="3" t="str">
        <f t="shared" si="284"/>
        <v>-</v>
      </c>
      <c r="AX405" s="3">
        <f t="shared" si="285"/>
        <v>10</v>
      </c>
      <c r="AY405" s="3">
        <f t="shared" si="286"/>
        <v>6</v>
      </c>
      <c r="AZ405" s="3">
        <f t="shared" si="287"/>
        <v>1</v>
      </c>
      <c r="BA405" s="3">
        <f>IF(ISERROR(LEN(VLOOKUP(A405,Seqs!A:E,2,FALSE))-AL405),"-",LEN(VLOOKUP(A405,Seqs!A:E,2,FALSE))-AL405)</f>
        <v>13</v>
      </c>
      <c r="BB405" s="16">
        <f t="shared" si="288"/>
        <v>31</v>
      </c>
      <c r="BC405" s="9">
        <f t="shared" si="289"/>
        <v>20</v>
      </c>
      <c r="BD405" s="3">
        <f t="shared" si="290"/>
        <v>31</v>
      </c>
      <c r="BE405" s="3">
        <f t="shared" si="291"/>
        <v>53</v>
      </c>
      <c r="BF405" s="3">
        <f t="shared" si="276"/>
        <v>36</v>
      </c>
    </row>
    <row r="406" spans="1:58" s="3" customFormat="1" x14ac:dyDescent="0.2">
      <c r="A406" s="3" t="s">
        <v>465</v>
      </c>
      <c r="B406" s="3" t="str">
        <f>LOWER(VLOOKUP(A406,Xtal_Templ!A:B,2,FALSE))</f>
        <v>drd2_human</v>
      </c>
      <c r="C406" s="3">
        <f>VLOOKUP($A406,'SegEnds_NonXtal_BW#'!$A:$Z,3,FALSE)+D406-50</f>
        <v>6</v>
      </c>
      <c r="D406" s="3">
        <v>24</v>
      </c>
      <c r="E406" s="3">
        <f t="shared" si="271"/>
        <v>36</v>
      </c>
      <c r="F406" s="3">
        <f t="shared" si="272"/>
        <v>37</v>
      </c>
      <c r="G406" s="3">
        <v>39</v>
      </c>
      <c r="H406" s="3">
        <f t="shared" si="273"/>
        <v>40</v>
      </c>
      <c r="I406" s="3">
        <f t="shared" si="273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74"/>
        <v>115</v>
      </c>
      <c r="S406" s="3">
        <v>115</v>
      </c>
      <c r="T406" s="100">
        <f t="shared" si="275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147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219</v>
      </c>
      <c r="AE406" s="3">
        <v>240</v>
      </c>
      <c r="AF406" s="3">
        <f>IF(ISERROR((VLOOKUP($A406,'SegEnds_NonXtal_BW#'!$A:$Z,22,FALSE)+VLOOKUP($A406,A:AL,31,FALSE)-50)),"-",(VLOOKUP($A406,'SegEnds_NonXtal_BW#'!$A:$Z,22,FALSE)+VLOOKUP($A406,A:AL,31,FALSE)-50))</f>
        <v>251</v>
      </c>
      <c r="AG406" s="3">
        <f>IF(ISERROR(VLOOKUP($A406,'SegEnds_NonXtal_BW#'!$A:$Z,23,FALSE)+VLOOKUP($A406,A:AL,34,FALSE)-50),"-",(VLOOKUP($A406,'SegEnds_NonXtal_BW#'!$A:$Z,23,FALSE)+VLOOKUP($A406,A:AL,34,FALSE)-50))</f>
        <v>257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92"/>
        <v>1</v>
      </c>
      <c r="AO406" s="3" t="str">
        <f>IF(ISERROR(MATCH(A406,'SegEnds_Xtal_Prot#'!B:B, 0)), "NoXtal", "Xtal")</f>
        <v>NoXtal</v>
      </c>
      <c r="AP406" s="3">
        <f t="shared" si="277"/>
        <v>1</v>
      </c>
      <c r="AQ406" s="3">
        <f t="shared" si="278"/>
        <v>1</v>
      </c>
      <c r="AR406" s="3" t="str">
        <f t="shared" si="279"/>
        <v>-</v>
      </c>
      <c r="AS406" s="3" t="str">
        <f t="shared" si="280"/>
        <v>-</v>
      </c>
      <c r="AT406" s="3">
        <f t="shared" si="281"/>
        <v>3</v>
      </c>
      <c r="AU406" s="3">
        <f t="shared" si="282"/>
        <v>1</v>
      </c>
      <c r="AV406" s="3" t="str">
        <f t="shared" si="283"/>
        <v>-</v>
      </c>
      <c r="AW406" s="3" t="str">
        <f t="shared" si="284"/>
        <v>-</v>
      </c>
      <c r="AX406" s="3">
        <f t="shared" si="285"/>
        <v>10</v>
      </c>
      <c r="AY406" s="3">
        <f t="shared" si="286"/>
        <v>6</v>
      </c>
      <c r="AZ406" s="3">
        <f t="shared" si="287"/>
        <v>1</v>
      </c>
      <c r="BA406" s="3">
        <f>IF(ISERROR(LEN(VLOOKUP(A406,Seqs!A:E,2,FALSE))-AL406),"-",LEN(VLOOKUP(A406,Seqs!A:E,2,FALSE))-AL406)</f>
        <v>13</v>
      </c>
      <c r="BB406" s="16">
        <f t="shared" si="288"/>
        <v>31</v>
      </c>
      <c r="BC406" s="9">
        <f t="shared" si="289"/>
        <v>20</v>
      </c>
      <c r="BD406" s="3">
        <f t="shared" si="290"/>
        <v>31</v>
      </c>
      <c r="BE406" s="3">
        <f t="shared" si="291"/>
        <v>53</v>
      </c>
      <c r="BF406" s="3">
        <f t="shared" si="276"/>
        <v>36</v>
      </c>
    </row>
    <row r="407" spans="1:58" s="3" customFormat="1" x14ac:dyDescent="0.2">
      <c r="A407" s="3" t="s">
        <v>925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71"/>
        <v>36</v>
      </c>
      <c r="F407" s="3">
        <f t="shared" si="272"/>
        <v>37</v>
      </c>
      <c r="G407" s="3">
        <v>39</v>
      </c>
      <c r="H407" s="3">
        <f t="shared" si="273"/>
        <v>40</v>
      </c>
      <c r="I407" s="3">
        <f t="shared" si="273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74"/>
        <v>115</v>
      </c>
      <c r="S407" s="3">
        <v>115</v>
      </c>
      <c r="T407" s="100">
        <f t="shared" si="275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222</v>
      </c>
      <c r="AE407" s="3">
        <v>243</v>
      </c>
      <c r="AF407" s="3">
        <f>IF(ISERROR((VLOOKUP($A407,'SegEnds_NonXtal_BW#'!$A:$Z,22,FALSE)+VLOOKUP($A407,A:AL,31,FALSE)-50)),"-",(VLOOKUP($A407,'SegEnds_NonXtal_BW#'!$A:$Z,22,FALSE)+VLOOKUP($A407,A:AL,31,FALSE)-50))</f>
        <v>254</v>
      </c>
      <c r="AG407" s="3">
        <f>IF(ISERROR(VLOOKUP($A407,'SegEnds_NonXtal_BW#'!$A:$Z,23,FALSE)+VLOOKUP($A407,A:AL,34,FALSE)-50),"-",(VLOOKUP($A407,'SegEnds_NonXtal_BW#'!$A:$Z,23,FALSE)+VLOOKUP($A407,A:AL,34,FALSE)-50))</f>
        <v>259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92"/>
        <v>1</v>
      </c>
      <c r="AO407" s="3" t="str">
        <f>IF(ISERROR(MATCH(A407,'SegEnds_Xtal_Prot#'!B:B, 0)), "NoXtal", "Xtal")</f>
        <v>NoXtal</v>
      </c>
      <c r="AP407" s="3">
        <f t="shared" si="277"/>
        <v>1</v>
      </c>
      <c r="AQ407" s="3">
        <f t="shared" si="278"/>
        <v>1</v>
      </c>
      <c r="AR407" s="3" t="str">
        <f t="shared" si="279"/>
        <v>-</v>
      </c>
      <c r="AS407" s="3" t="str">
        <f t="shared" si="280"/>
        <v>-</v>
      </c>
      <c r="AT407" s="3">
        <f t="shared" si="281"/>
        <v>3</v>
      </c>
      <c r="AU407" s="3">
        <f t="shared" si="282"/>
        <v>1</v>
      </c>
      <c r="AV407" s="3" t="str">
        <f t="shared" si="283"/>
        <v>-</v>
      </c>
      <c r="AW407" s="3" t="str">
        <f t="shared" si="284"/>
        <v>-</v>
      </c>
      <c r="AX407" s="3">
        <f t="shared" si="285"/>
        <v>13</v>
      </c>
      <c r="AY407" s="3">
        <f t="shared" si="286"/>
        <v>5</v>
      </c>
      <c r="AZ407" s="3">
        <f t="shared" si="287"/>
        <v>1</v>
      </c>
      <c r="BA407" s="3">
        <f>IF(ISERROR(LEN(VLOOKUP(A407,Seqs!A:E,2,FALSE))-AL407),"-",LEN(VLOOKUP(A407,Seqs!A:E,2,FALSE))-AL407)</f>
        <v>3</v>
      </c>
      <c r="BB407" s="16">
        <f t="shared" si="288"/>
        <v>31</v>
      </c>
      <c r="BC407" s="9">
        <f t="shared" si="289"/>
        <v>20</v>
      </c>
      <c r="BD407" s="3">
        <f t="shared" si="290"/>
        <v>31</v>
      </c>
      <c r="BE407" s="3">
        <f t="shared" si="291"/>
        <v>56</v>
      </c>
      <c r="BF407" s="3">
        <f t="shared" si="276"/>
        <v>33</v>
      </c>
    </row>
    <row r="408" spans="1:58" s="3" customFormat="1" x14ac:dyDescent="0.2">
      <c r="A408" s="3" t="s">
        <v>466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71"/>
        <v>36</v>
      </c>
      <c r="F408" s="3">
        <f t="shared" si="272"/>
        <v>37</v>
      </c>
      <c r="G408" s="3">
        <v>39</v>
      </c>
      <c r="H408" s="3">
        <f t="shared" si="273"/>
        <v>40</v>
      </c>
      <c r="I408" s="3">
        <f t="shared" si="273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74"/>
        <v>115</v>
      </c>
      <c r="S408" s="3">
        <v>115</v>
      </c>
      <c r="T408" s="100">
        <f t="shared" si="275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92"/>
        <v>1</v>
      </c>
      <c r="AO408" s="3" t="str">
        <f>IF(ISERROR(MATCH(A408,'SegEnds_Xtal_Prot#'!B:B, 0)), "NoXtal", "Xtal")</f>
        <v>NoXtal</v>
      </c>
      <c r="AP408" s="3">
        <f t="shared" si="277"/>
        <v>1</v>
      </c>
      <c r="AQ408" s="3">
        <f t="shared" si="278"/>
        <v>1</v>
      </c>
      <c r="AR408" s="3" t="str">
        <f t="shared" si="279"/>
        <v>-</v>
      </c>
      <c r="AS408" s="3" t="str">
        <f t="shared" si="280"/>
        <v>-</v>
      </c>
      <c r="AT408" s="3">
        <f t="shared" si="281"/>
        <v>3</v>
      </c>
      <c r="AU408" s="3">
        <f t="shared" si="282"/>
        <v>1</v>
      </c>
      <c r="AV408" s="3" t="str">
        <f t="shared" si="283"/>
        <v>-</v>
      </c>
      <c r="AW408" s="3" t="str">
        <f t="shared" si="284"/>
        <v>-</v>
      </c>
      <c r="AX408" s="3">
        <f t="shared" si="285"/>
        <v>10</v>
      </c>
      <c r="AY408" s="3">
        <f t="shared" si="286"/>
        <v>6</v>
      </c>
      <c r="AZ408" s="3">
        <f t="shared" si="287"/>
        <v>1</v>
      </c>
      <c r="BA408" s="3">
        <f>IF(ISERROR(LEN(VLOOKUP(A408,Seqs!A:E,2,FALSE))-AL408),"-",LEN(VLOOKUP(A408,Seqs!A:E,2,FALSE))-AL408)</f>
        <v>13</v>
      </c>
      <c r="BB408" s="16">
        <f t="shared" si="288"/>
        <v>31</v>
      </c>
      <c r="BC408" s="9">
        <f t="shared" si="289"/>
        <v>20</v>
      </c>
      <c r="BD408" s="3">
        <f t="shared" si="290"/>
        <v>31</v>
      </c>
      <c r="BE408" s="3">
        <f t="shared" si="291"/>
        <v>53</v>
      </c>
      <c r="BF408" s="3">
        <f t="shared" si="276"/>
        <v>36</v>
      </c>
    </row>
    <row r="409" spans="1:58" s="3" customFormat="1" x14ac:dyDescent="0.2">
      <c r="A409" s="3" t="s">
        <v>467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71"/>
        <v>36</v>
      </c>
      <c r="F409" s="3">
        <f t="shared" si="272"/>
        <v>37</v>
      </c>
      <c r="G409" s="3">
        <v>39</v>
      </c>
      <c r="H409" s="3">
        <f t="shared" si="273"/>
        <v>40</v>
      </c>
      <c r="I409" s="3">
        <f t="shared" si="273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74"/>
        <v>115</v>
      </c>
      <c r="S409" s="3">
        <v>115</v>
      </c>
      <c r="T409" s="100">
        <f t="shared" si="275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147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292"/>
        <v>1</v>
      </c>
      <c r="AO409" s="3" t="str">
        <f>IF(ISERROR(MATCH(A409,'SegEnds_Xtal_Prot#'!B:B, 0)), "NoXtal", "Xtal")</f>
        <v>NoXtal</v>
      </c>
      <c r="AP409" s="3">
        <f t="shared" si="277"/>
        <v>1</v>
      </c>
      <c r="AQ409" s="3">
        <f t="shared" si="278"/>
        <v>1</v>
      </c>
      <c r="AR409" s="3" t="str">
        <f t="shared" si="279"/>
        <v>-</v>
      </c>
      <c r="AS409" s="3" t="str">
        <f t="shared" si="280"/>
        <v>-</v>
      </c>
      <c r="AT409" s="3">
        <f t="shared" si="281"/>
        <v>3</v>
      </c>
      <c r="AU409" s="3">
        <f t="shared" si="282"/>
        <v>1</v>
      </c>
      <c r="AV409" s="3" t="str">
        <f t="shared" si="283"/>
        <v>-</v>
      </c>
      <c r="AW409" s="3" t="str">
        <f t="shared" si="284"/>
        <v>-</v>
      </c>
      <c r="AX409" s="3">
        <f t="shared" si="285"/>
        <v>10</v>
      </c>
      <c r="AY409" s="3">
        <f t="shared" si="286"/>
        <v>6</v>
      </c>
      <c r="AZ409" s="3">
        <f t="shared" si="287"/>
        <v>1</v>
      </c>
      <c r="BA409" s="3">
        <f>IF(ISERROR(LEN(VLOOKUP(A409,Seqs!A:E,2,FALSE))-AL409),"-",LEN(VLOOKUP(A409,Seqs!A:E,2,FALSE))-AL409)</f>
        <v>3</v>
      </c>
      <c r="BB409" s="16">
        <f t="shared" si="288"/>
        <v>31</v>
      </c>
      <c r="BC409" s="9">
        <f t="shared" si="289"/>
        <v>20</v>
      </c>
      <c r="BD409" s="3">
        <f t="shared" si="290"/>
        <v>31</v>
      </c>
      <c r="BE409" s="3">
        <f t="shared" si="291"/>
        <v>53</v>
      </c>
      <c r="BF409" s="3">
        <f t="shared" si="276"/>
        <v>36</v>
      </c>
    </row>
    <row r="410" spans="1:58" s="3" customFormat="1" x14ac:dyDescent="0.2">
      <c r="A410" s="3" t="s">
        <v>468</v>
      </c>
      <c r="B410" s="3" t="str">
        <f>LOWER(VLOOKUP(A410,Xtal_Templ!A:B,2,FALSE))</f>
        <v>oprk_human</v>
      </c>
      <c r="C410" s="3">
        <f>VLOOKUP($A410,'SegEnds_NonXtal_BW#'!$A:$Z,3,FALSE)+D410-50</f>
        <v>17</v>
      </c>
      <c r="D410" s="3">
        <v>35</v>
      </c>
      <c r="E410" s="3">
        <f t="shared" si="271"/>
        <v>47</v>
      </c>
      <c r="F410" s="3">
        <f t="shared" si="272"/>
        <v>48</v>
      </c>
      <c r="G410" s="3">
        <v>50</v>
      </c>
      <c r="H410" s="3">
        <f t="shared" si="273"/>
        <v>51</v>
      </c>
      <c r="I410" s="3">
        <f t="shared" si="273"/>
        <v>52</v>
      </c>
      <c r="J410" s="3">
        <v>66</v>
      </c>
      <c r="K410" s="3">
        <f>VLOOKUP($A410,'SegEnds_NonXtal_BW#'!$A:$Z,8,FALSE)+VLOOKUP($A410,A:AL,10,FALSE)-50</f>
        <v>82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86</v>
      </c>
      <c r="P410" s="3">
        <v>118</v>
      </c>
      <c r="Q410" s="3">
        <f>VLOOKUP($A410,'SegEnds_NonXtal_BW#'!$A:$Z,12,FALSE)+VLOOKUP($A410,A:AL,16,FALSE)-50</f>
        <v>124</v>
      </c>
      <c r="R410" s="3">
        <f t="shared" si="274"/>
        <v>127</v>
      </c>
      <c r="S410" s="3">
        <v>127</v>
      </c>
      <c r="T410" s="100">
        <f t="shared" si="275"/>
        <v>134</v>
      </c>
      <c r="U410" s="9">
        <f>IF(ISERROR(VLOOKUP($A410,'SegEnds_NonXtal_BW#'!$A:$Z,15,FALSE)+VLOOKUP($A410,A:AL,22,FALSE)-50),"-",VLOOKUP($A410,'SegEnds_NonXtal_BW#'!$A:$Z,15,FALSE)+VLOOKUP($A410,A:AL,22,FALSE)-50)</f>
        <v>135</v>
      </c>
      <c r="V410" s="3">
        <v>147</v>
      </c>
      <c r="W410" s="3">
        <f>IF(ISERROR(VLOOKUP($A410,'SegEnds_NonXtal_BW#'!$A:$Z,16,FALSE)+VLOOKUP($A410,A:AL,22,FALSE)-50),"-",(VLOOKUP($A410,'SegEnds_NonXtal_BW#'!$A:$Z,16,FALSE)+VLOOKUP($A410,A:AL,22,FALSE)-50))</f>
        <v>161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187</v>
      </c>
      <c r="AB410" s="3">
        <v>205</v>
      </c>
      <c r="AC410" s="3">
        <f>IF(ISERROR((VLOOKUP($A410,'SegEnds_NonXtal_BW#'!$A:$Z,20,FALSE)+VLOOKUP($A410,A:AL,28,FALSE)-50)),"-",(VLOOKUP($A410,'SegEnds_NonXtal_BW#'!$A:$Z,20,FALSE)+VLOOKUP($A410,A:AL,28,FALSE)-50))</f>
        <v>227</v>
      </c>
      <c r="AD410" s="3">
        <f>IF(ISERROR(VLOOKUP($A410,'SegEnds_NonXtal_BW#'!$A:$Z,21,FALSE)+VLOOKUP($A410,A:AL,31,FALSE)-50),"-",(VLOOKUP($A410,'SegEnds_NonXtal_BW#'!$A:$Z,21,FALSE)+VLOOKUP($A410,A:AL,31,FALSE)-50))</f>
        <v>237</v>
      </c>
      <c r="AE410" s="3">
        <v>258</v>
      </c>
      <c r="AF410" s="3">
        <f>IF(ISERROR((VLOOKUP($A410,'SegEnds_NonXtal_BW#'!$A:$Z,22,FALSE)+VLOOKUP($A410,A:AL,31,FALSE)-50)),"-",(VLOOKUP($A410,'SegEnds_NonXtal_BW#'!$A:$Z,22,FALSE)+VLOOKUP($A410,A:AL,31,FALSE)-50))</f>
        <v>269</v>
      </c>
      <c r="AG410" s="3">
        <f>IF(ISERROR(VLOOKUP($A410,'SegEnds_NonXtal_BW#'!$A:$Z,23,FALSE)+VLOOKUP($A410,A:AL,34,FALSE)-50),"-",(VLOOKUP($A410,'SegEnds_NonXtal_BW#'!$A:$Z,23,FALSE)+VLOOKUP($A410,A:AL,34,FALSE)-50))</f>
        <v>274</v>
      </c>
      <c r="AH410" s="3">
        <v>293</v>
      </c>
      <c r="AI410" s="3">
        <f>IF(ISERROR((VLOOKUP($A410,'SegEnds_NonXtal_BW#'!$A:$Z,24,FALSE)+VLOOKUP($A410,A:AL,34,FALSE)-50)),"-",(VLOOKUP($A410,'SegEnds_NonXtal_BW#'!$A:$Z,24,FALSE)+VLOOKUP($A410,A:AL,34,FALSE)-50))</f>
        <v>299</v>
      </c>
      <c r="AJ410" s="3">
        <f>IF(ISERROR(VLOOKUP($A410,'SegEnds_NonXtal_BW#'!$A:$Z,25,FALSE)+VLOOKUP($A410,A:AL,37,FALSE)-50),"-",(VLOOKUP($A410,'SegEnds_NonXtal_BW#'!$A:$Z,25,FALSE)+VLOOKUP($A410,A:AL,37,FALSE)-50))</f>
        <v>300</v>
      </c>
      <c r="AK410" s="3">
        <v>303</v>
      </c>
      <c r="AL410" s="3">
        <f>IF(ISERROR((VLOOKUP($A410,'SegEnds_NonXtal_BW#'!$A:$Z,26,FALSE)+VLOOKUP($A410,A:AL,37,FALSE)-50)),"-",(VLOOKUP($A410,'SegEnds_NonXtal_BW#'!$A:$Z,26,FALSE)+VLOOKUP($A410,A:AL,37,FALSE)-50))</f>
        <v>313</v>
      </c>
      <c r="AM410" s="28" t="str">
        <f>VLOOKUP(A410,Classification!A:B,2,FALSE)</f>
        <v>T</v>
      </c>
      <c r="AN410" s="28" t="b">
        <f t="shared" si="292"/>
        <v>1</v>
      </c>
      <c r="AO410" s="3" t="str">
        <f>IF(ISERROR(MATCH(A410,'SegEnds_Xtal_Prot#'!B:B, 0)), "NoXtal", "Xtal")</f>
        <v>NoXtal</v>
      </c>
      <c r="AP410" s="3">
        <f t="shared" si="277"/>
        <v>1</v>
      </c>
      <c r="AQ410" s="3">
        <f t="shared" si="278"/>
        <v>1</v>
      </c>
      <c r="AR410" s="3" t="str">
        <f t="shared" si="279"/>
        <v>-</v>
      </c>
      <c r="AS410" s="3" t="str">
        <f t="shared" si="280"/>
        <v>-</v>
      </c>
      <c r="AT410" s="3">
        <f t="shared" si="281"/>
        <v>3</v>
      </c>
      <c r="AU410" s="3">
        <f t="shared" si="282"/>
        <v>1</v>
      </c>
      <c r="AV410" s="3" t="str">
        <f t="shared" si="283"/>
        <v>-</v>
      </c>
      <c r="AW410" s="3" t="str">
        <f t="shared" si="284"/>
        <v>-</v>
      </c>
      <c r="AX410" s="3">
        <f t="shared" si="285"/>
        <v>10</v>
      </c>
      <c r="AY410" s="3">
        <f t="shared" si="286"/>
        <v>5</v>
      </c>
      <c r="AZ410" s="3">
        <f t="shared" si="287"/>
        <v>1</v>
      </c>
      <c r="BA410" s="3">
        <f>IF(ISERROR(LEN(VLOOKUP(A410,Seqs!A:E,2,FALSE))-AL410),"-",LEN(VLOOKUP(A410,Seqs!A:E,2,FALSE))-AL410)</f>
        <v>5</v>
      </c>
      <c r="BB410" s="16">
        <f t="shared" si="288"/>
        <v>31</v>
      </c>
      <c r="BC410" s="9">
        <f t="shared" si="289"/>
        <v>20</v>
      </c>
      <c r="BD410" s="3">
        <f t="shared" si="290"/>
        <v>31</v>
      </c>
      <c r="BE410" s="3">
        <f t="shared" si="291"/>
        <v>53</v>
      </c>
      <c r="BF410" s="3">
        <f t="shared" si="276"/>
        <v>35</v>
      </c>
    </row>
    <row r="411" spans="1:58" s="3" customFormat="1" x14ac:dyDescent="0.2">
      <c r="A411" s="3" t="s">
        <v>470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71"/>
        <v>36</v>
      </c>
      <c r="F411" s="3">
        <f t="shared" si="272"/>
        <v>37</v>
      </c>
      <c r="G411" s="3">
        <v>39</v>
      </c>
      <c r="H411" s="3">
        <f t="shared" si="273"/>
        <v>40</v>
      </c>
      <c r="I411" s="3">
        <f t="shared" si="273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77</v>
      </c>
      <c r="P411" s="3">
        <v>103</v>
      </c>
      <c r="Q411" s="3">
        <f>VLOOKUP($A411,'SegEnds_NonXtal_BW#'!$A:$Z,12,FALSE)+VLOOKUP($A411,A:AL,16,FALSE)-50</f>
        <v>109</v>
      </c>
      <c r="R411" s="3">
        <f t="shared" si="274"/>
        <v>112</v>
      </c>
      <c r="S411" s="3">
        <v>112</v>
      </c>
      <c r="T411" s="100">
        <f t="shared" si="275"/>
        <v>119</v>
      </c>
      <c r="U411" s="9">
        <f>IF(ISERROR(VLOOKUP($A411,'SegEnds_NonXtal_BW#'!$A:$Z,15,FALSE)+VLOOKUP($A411,A:AL,22,FALSE)-50),"-",VLOOKUP($A411,'SegEnds_NonXtal_BW#'!$A:$Z,15,FALSE)+VLOOKUP($A411,A:AL,22,FALSE)-50)</f>
        <v>120</v>
      </c>
      <c r="V411" s="3">
        <v>132</v>
      </c>
      <c r="W411" s="3">
        <f>IF(ISERROR(VLOOKUP($A411,'SegEnds_NonXtal_BW#'!$A:$Z,16,FALSE)+VLOOKUP($A411,A:AL,22,FALSE)-50),"-",(VLOOKUP($A411,'SegEnds_NonXtal_BW#'!$A:$Z,16,FALSE)+VLOOKUP($A411,A:AL,22,FALSE)-50))</f>
        <v>146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168</v>
      </c>
      <c r="AB411" s="3">
        <v>186</v>
      </c>
      <c r="AC411" s="3">
        <f>IF(ISERROR((VLOOKUP($A411,'SegEnds_NonXtal_BW#'!$A:$Z,20,FALSE)+VLOOKUP($A411,A:AL,28,FALSE)-50)),"-",(VLOOKUP($A411,'SegEnds_NonXtal_BW#'!$A:$Z,20,FALSE)+VLOOKUP($A411,A:AL,28,FALSE)-50))</f>
        <v>208</v>
      </c>
      <c r="AD411" s="3">
        <f>IF(ISERROR(VLOOKUP($A411,'SegEnds_NonXtal_BW#'!$A:$Z,21,FALSE)+VLOOKUP($A411,A:AL,31,FALSE)-50),"-",(VLOOKUP($A411,'SegEnds_NonXtal_BW#'!$A:$Z,21,FALSE)+VLOOKUP($A411,A:AL,31,FALSE)-50))</f>
        <v>218</v>
      </c>
      <c r="AE411" s="3">
        <v>239</v>
      </c>
      <c r="AF411" s="3">
        <f>IF(ISERROR((VLOOKUP($A411,'SegEnds_NonXtal_BW#'!$A:$Z,22,FALSE)+VLOOKUP($A411,A:AL,31,FALSE)-50)),"-",(VLOOKUP($A411,'SegEnds_NonXtal_BW#'!$A:$Z,22,FALSE)+VLOOKUP($A411,A:AL,31,FALSE)-50))</f>
        <v>250</v>
      </c>
      <c r="AG411" s="3">
        <f>IF(ISERROR(VLOOKUP($A411,'SegEnds_NonXtal_BW#'!$A:$Z,23,FALSE)+VLOOKUP($A411,A:AL,34,FALSE)-50),"-",(VLOOKUP($A411,'SegEnds_NonXtal_BW#'!$A:$Z,23,FALSE)+VLOOKUP($A411,A:AL,34,FALSE)-50))</f>
        <v>255</v>
      </c>
      <c r="AH411" s="3">
        <v>274</v>
      </c>
      <c r="AI411" s="3">
        <f>IF(ISERROR((VLOOKUP($A411,'SegEnds_NonXtal_BW#'!$A:$Z,24,FALSE)+VLOOKUP($A411,A:AL,34,FALSE)-50)),"-",(VLOOKUP($A411,'SegEnds_NonXtal_BW#'!$A:$Z,24,FALSE)+VLOOKUP($A411,A:AL,34,FALSE)-50))</f>
        <v>280</v>
      </c>
      <c r="AJ411" s="3">
        <f>IF(ISERROR(VLOOKUP($A411,'SegEnds_NonXtal_BW#'!$A:$Z,25,FALSE)+VLOOKUP($A411,A:AL,37,FALSE)-50),"-",(VLOOKUP($A411,'SegEnds_NonXtal_BW#'!$A:$Z,25,FALSE)+VLOOKUP($A411,A:AL,37,FALSE)-50))</f>
        <v>281</v>
      </c>
      <c r="AK411" s="3">
        <v>284</v>
      </c>
      <c r="AL411" s="3">
        <f>IF(ISERROR((VLOOKUP($A411,'SegEnds_NonXtal_BW#'!$A:$Z,26,FALSE)+VLOOKUP($A411,A:AL,37,FALSE)-50)),"-",(VLOOKUP($A411,'SegEnds_NonXtal_BW#'!$A:$Z,26,FALSE)+VLOOKUP($A411,A:AL,37,FALSE)-50))</f>
        <v>294</v>
      </c>
      <c r="AM411" s="28" t="str">
        <f>VLOOKUP(A411,Classification!A:B,2,FALSE)</f>
        <v>T</v>
      </c>
      <c r="AN411" s="28" t="b">
        <f t="shared" si="292"/>
        <v>1</v>
      </c>
      <c r="AO411" s="3" t="str">
        <f>IF(ISERROR(MATCH(A411,'SegEnds_Xtal_Prot#'!B:B, 0)), "NoXtal", "Xtal")</f>
        <v>NoXtal</v>
      </c>
      <c r="AP411" s="3">
        <f t="shared" si="277"/>
        <v>1</v>
      </c>
      <c r="AQ411" s="3">
        <f t="shared" si="278"/>
        <v>1</v>
      </c>
      <c r="AR411" s="3" t="str">
        <f t="shared" si="279"/>
        <v>-</v>
      </c>
      <c r="AS411" s="3" t="str">
        <f t="shared" si="280"/>
        <v>-</v>
      </c>
      <c r="AT411" s="3">
        <f t="shared" si="281"/>
        <v>3</v>
      </c>
      <c r="AU411" s="3">
        <f t="shared" si="282"/>
        <v>1</v>
      </c>
      <c r="AV411" s="3" t="str">
        <f t="shared" si="283"/>
        <v>-</v>
      </c>
      <c r="AW411" s="3" t="str">
        <f t="shared" si="284"/>
        <v>-</v>
      </c>
      <c r="AX411" s="3">
        <f t="shared" si="285"/>
        <v>10</v>
      </c>
      <c r="AY411" s="3">
        <f t="shared" si="286"/>
        <v>5</v>
      </c>
      <c r="AZ411" s="3">
        <f t="shared" si="287"/>
        <v>1</v>
      </c>
      <c r="BA411" s="3">
        <f>IF(ISERROR(LEN(VLOOKUP(A411,Seqs!A:E,2,FALSE))-AL411),"-",LEN(VLOOKUP(A411,Seqs!A:E,2,FALSE))-AL411)</f>
        <v>5</v>
      </c>
      <c r="BB411" s="16">
        <f t="shared" si="288"/>
        <v>31</v>
      </c>
      <c r="BC411" s="9">
        <f t="shared" si="289"/>
        <v>20</v>
      </c>
      <c r="BD411" s="3">
        <f t="shared" si="290"/>
        <v>31</v>
      </c>
      <c r="BE411" s="3">
        <f t="shared" si="291"/>
        <v>53</v>
      </c>
      <c r="BF411" s="3">
        <f t="shared" si="276"/>
        <v>35</v>
      </c>
    </row>
    <row r="412" spans="1:58" s="3" customFormat="1" x14ac:dyDescent="0.2">
      <c r="A412" s="3" t="s">
        <v>471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71"/>
        <v>36</v>
      </c>
      <c r="F412" s="3">
        <f t="shared" si="272"/>
        <v>37</v>
      </c>
      <c r="G412" s="3">
        <v>39</v>
      </c>
      <c r="H412" s="3">
        <f t="shared" si="273"/>
        <v>40</v>
      </c>
      <c r="I412" s="3">
        <f t="shared" si="273"/>
        <v>41</v>
      </c>
      <c r="J412" s="3">
        <v>55</v>
      </c>
      <c r="K412" s="3">
        <f>VLOOKUP($A412,'SegEnds_NonXtal_BW#'!$A:$Z,8,FALSE)+VLOOKUP($A412,A:AL,10,FALSE)-50</f>
        <v>72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78</v>
      </c>
      <c r="P412" s="3">
        <v>107</v>
      </c>
      <c r="Q412" s="3">
        <f>VLOOKUP($A412,'SegEnds_NonXtal_BW#'!$A:$Z,12,FALSE)+VLOOKUP($A412,A:AL,16,FALSE)-50</f>
        <v>113</v>
      </c>
      <c r="R412" s="3">
        <f t="shared" si="274"/>
        <v>116</v>
      </c>
      <c r="S412" s="3">
        <v>116</v>
      </c>
      <c r="T412" s="100">
        <f t="shared" si="275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150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174</v>
      </c>
      <c r="AB412" s="3">
        <v>192</v>
      </c>
      <c r="AC412" s="3">
        <f>IF(ISERROR((VLOOKUP($A412,'SegEnds_NonXtal_BW#'!$A:$Z,20,FALSE)+VLOOKUP($A412,A:AL,28,FALSE)-50)),"-",(VLOOKUP($A412,'SegEnds_NonXtal_BW#'!$A:$Z,20,FALSE)+VLOOKUP($A412,A:AL,28,FALSE)-50))</f>
        <v>214</v>
      </c>
      <c r="AD412" s="3">
        <f>IF(ISERROR(VLOOKUP($A412,'SegEnds_NonXtal_BW#'!$A:$Z,21,FALSE)+VLOOKUP($A412,A:AL,31,FALSE)-50),"-",(VLOOKUP($A412,'SegEnds_NonXtal_BW#'!$A:$Z,21,FALSE)+VLOOKUP($A412,A:AL,31,FALSE)-50))</f>
        <v>224</v>
      </c>
      <c r="AE412" s="3">
        <v>245</v>
      </c>
      <c r="AF412" s="3">
        <f>IF(ISERROR((VLOOKUP($A412,'SegEnds_NonXtal_BW#'!$A:$Z,22,FALSE)+VLOOKUP($A412,A:AL,31,FALSE)-50)),"-",(VLOOKUP($A412,'SegEnds_NonXtal_BW#'!$A:$Z,22,FALSE)+VLOOKUP($A412,A:AL,31,FALSE)-50))</f>
        <v>256</v>
      </c>
      <c r="AG412" s="3">
        <f>IF(ISERROR(VLOOKUP($A412,'SegEnds_NonXtal_BW#'!$A:$Z,23,FALSE)+VLOOKUP($A412,A:AL,34,FALSE)-50),"-",(VLOOKUP($A412,'SegEnds_NonXtal_BW#'!$A:$Z,23,FALSE)+VLOOKUP($A412,A:AL,34,FALSE)-50))</f>
        <v>262</v>
      </c>
      <c r="AH412" s="3">
        <v>281</v>
      </c>
      <c r="AI412" s="3">
        <f>IF(ISERROR((VLOOKUP($A412,'SegEnds_NonXtal_BW#'!$A:$Z,24,FALSE)+VLOOKUP($A412,A:AL,34,FALSE)-50)),"-",(VLOOKUP($A412,'SegEnds_NonXtal_BW#'!$A:$Z,24,FALSE)+VLOOKUP($A412,A:AL,34,FALSE)-50))</f>
        <v>287</v>
      </c>
      <c r="AJ412" s="3">
        <f>IF(ISERROR(VLOOKUP($A412,'SegEnds_NonXtal_BW#'!$A:$Z,25,FALSE)+VLOOKUP($A412,A:AL,37,FALSE)-50),"-",(VLOOKUP($A412,'SegEnds_NonXtal_BW#'!$A:$Z,25,FALSE)+VLOOKUP($A412,A:AL,37,FALSE)-50))</f>
        <v>288</v>
      </c>
      <c r="AK412" s="3">
        <v>291</v>
      </c>
      <c r="AL412" s="3">
        <f>IF(ISERROR((VLOOKUP($A412,'SegEnds_NonXtal_BW#'!$A:$Z,26,FALSE)+VLOOKUP($A412,A:AL,37,FALSE)-50)),"-",(VLOOKUP($A412,'SegEnds_NonXtal_BW#'!$A:$Z,26,FALSE)+VLOOKUP($A412,A:AL,37,FALSE)-50))</f>
        <v>301</v>
      </c>
      <c r="AM412" s="28" t="str">
        <f>VLOOKUP(A412,Classification!A:B,2,FALSE)</f>
        <v>T</v>
      </c>
      <c r="AN412" s="28" t="b">
        <f t="shared" si="292"/>
        <v>1</v>
      </c>
      <c r="AO412" s="3" t="str">
        <f>IF(ISERROR(MATCH(A412,'SegEnds_Xtal_Prot#'!B:B, 0)), "NoXtal", "Xtal")</f>
        <v>NoXtal</v>
      </c>
      <c r="AP412" s="3">
        <f t="shared" si="277"/>
        <v>1</v>
      </c>
      <c r="AQ412" s="3">
        <f t="shared" si="278"/>
        <v>1</v>
      </c>
      <c r="AR412" s="3" t="str">
        <f t="shared" si="279"/>
        <v>-</v>
      </c>
      <c r="AS412" s="3" t="str">
        <f t="shared" si="280"/>
        <v>-</v>
      </c>
      <c r="AT412" s="3">
        <f t="shared" si="281"/>
        <v>3</v>
      </c>
      <c r="AU412" s="3">
        <f t="shared" si="282"/>
        <v>1</v>
      </c>
      <c r="AV412" s="3" t="str">
        <f t="shared" si="283"/>
        <v>-</v>
      </c>
      <c r="AW412" s="3" t="str">
        <f t="shared" si="284"/>
        <v>-</v>
      </c>
      <c r="AX412" s="3">
        <f t="shared" si="285"/>
        <v>10</v>
      </c>
      <c r="AY412" s="3">
        <f t="shared" si="286"/>
        <v>6</v>
      </c>
      <c r="AZ412" s="3">
        <f t="shared" si="287"/>
        <v>1</v>
      </c>
      <c r="BA412" s="3">
        <f>IF(ISERROR(LEN(VLOOKUP(A412,Seqs!A:E,2,FALSE))-AL412),"-",LEN(VLOOKUP(A412,Seqs!A:E,2,FALSE))-AL412)</f>
        <v>15</v>
      </c>
      <c r="BB412" s="16">
        <f t="shared" si="288"/>
        <v>31</v>
      </c>
      <c r="BC412" s="9">
        <f t="shared" si="289"/>
        <v>20</v>
      </c>
      <c r="BD412" s="3">
        <f t="shared" si="290"/>
        <v>31</v>
      </c>
      <c r="BE412" s="3">
        <f t="shared" si="291"/>
        <v>53</v>
      </c>
      <c r="BF412" s="3">
        <f t="shared" si="276"/>
        <v>36</v>
      </c>
    </row>
    <row r="413" spans="1:58" s="3" customFormat="1" x14ac:dyDescent="0.2">
      <c r="A413" s="3" t="s">
        <v>472</v>
      </c>
      <c r="B413" s="3" t="str">
        <f>LOWER(VLOOKUP(A413,Xtal_Templ!A:B,2,FALSE))</f>
        <v>5ht1b_human</v>
      </c>
      <c r="C413" s="3">
        <f>VLOOKUP($A413,'SegEnds_NonXtal_BW#'!$A:$Z,3,FALSE)+D413-50</f>
        <v>6</v>
      </c>
      <c r="D413" s="3">
        <v>24</v>
      </c>
      <c r="E413" s="3">
        <f t="shared" si="271"/>
        <v>36</v>
      </c>
      <c r="F413" s="3">
        <f t="shared" si="272"/>
        <v>37</v>
      </c>
      <c r="G413" s="3">
        <v>39</v>
      </c>
      <c r="H413" s="3">
        <f t="shared" si="273"/>
        <v>40</v>
      </c>
      <c r="I413" s="3">
        <f t="shared" si="273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106</v>
      </c>
      <c r="Q413" s="3">
        <f>VLOOKUP($A413,'SegEnds_NonXtal_BW#'!$A:$Z,12,FALSE)+VLOOKUP($A413,A:AL,16,FALSE)-50</f>
        <v>112</v>
      </c>
      <c r="R413" s="3">
        <f t="shared" si="274"/>
        <v>115</v>
      </c>
      <c r="S413" s="3">
        <v>115</v>
      </c>
      <c r="T413" s="100">
        <f t="shared" si="275"/>
        <v>122</v>
      </c>
      <c r="U413" s="9">
        <f>IF(ISERROR(VLOOKUP($A413,'SegEnds_NonXtal_BW#'!$A:$Z,15,FALSE)+VLOOKUP($A413,A:AL,22,FALSE)-50),"-",VLOOKUP($A413,'SegEnds_NonXtal_BW#'!$A:$Z,15,FALSE)+VLOOKUP($A413,A:AL,22,FALSE)-50)</f>
        <v>123</v>
      </c>
      <c r="V413" s="3">
        <v>135</v>
      </c>
      <c r="W413" s="3">
        <f>IF(ISERROR(VLOOKUP($A413,'SegEnds_NonXtal_BW#'!$A:$Z,16,FALSE)+VLOOKUP($A413,A:AL,22,FALSE)-50),"-",(VLOOKUP($A413,'SegEnds_NonXtal_BW#'!$A:$Z,16,FALSE)+VLOOKUP($A413,A:AL,22,FALSE)-50))</f>
        <v>148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170</v>
      </c>
      <c r="AB413" s="3">
        <v>188</v>
      </c>
      <c r="AC413" s="3">
        <f>IF(ISERROR((VLOOKUP($A413,'SegEnds_NonXtal_BW#'!$A:$Z,20,FALSE)+VLOOKUP($A413,A:AL,28,FALSE)-50)),"-",(VLOOKUP($A413,'SegEnds_NonXtal_BW#'!$A:$Z,20,FALSE)+VLOOKUP($A413,A:AL,28,FALSE)-50))</f>
        <v>210</v>
      </c>
      <c r="AD413" s="3">
        <f>IF(ISERROR(VLOOKUP($A413,'SegEnds_NonXtal_BW#'!$A:$Z,21,FALSE)+VLOOKUP($A413,A:AL,31,FALSE)-50),"-",(VLOOKUP($A413,'SegEnds_NonXtal_BW#'!$A:$Z,21,FALSE)+VLOOKUP($A413,A:AL,31,FALSE)-50))</f>
        <v>220</v>
      </c>
      <c r="AE413" s="3">
        <v>241</v>
      </c>
      <c r="AF413" s="3">
        <f>IF(ISERROR((VLOOKUP($A413,'SegEnds_NonXtal_BW#'!$A:$Z,22,FALSE)+VLOOKUP($A413,A:AL,31,FALSE)-50)),"-",(VLOOKUP($A413,'SegEnds_NonXtal_BW#'!$A:$Z,22,FALSE)+VLOOKUP($A413,A:AL,31,FALSE)-50))</f>
        <v>252</v>
      </c>
      <c r="AG413" s="3">
        <f>IF(ISERROR(VLOOKUP($A413,'SegEnds_NonXtal_BW#'!$A:$Z,23,FALSE)+VLOOKUP($A413,A:AL,34,FALSE)-50),"-",(VLOOKUP($A413,'SegEnds_NonXtal_BW#'!$A:$Z,23,FALSE)+VLOOKUP($A413,A:AL,34,FALSE)-50))</f>
        <v>258</v>
      </c>
      <c r="AH413" s="3">
        <v>277</v>
      </c>
      <c r="AI413" s="3">
        <f>IF(ISERROR((VLOOKUP($A413,'SegEnds_NonXtal_BW#'!$A:$Z,24,FALSE)+VLOOKUP($A413,A:AL,34,FALSE)-50)),"-",(VLOOKUP($A413,'SegEnds_NonXtal_BW#'!$A:$Z,24,FALSE)+VLOOKUP($A413,A:AL,34,FALSE)-50))</f>
        <v>283</v>
      </c>
      <c r="AJ413" s="3">
        <f>IF(ISERROR(VLOOKUP($A413,'SegEnds_NonXtal_BW#'!$A:$Z,25,FALSE)+VLOOKUP($A413,A:AL,37,FALSE)-50),"-",(VLOOKUP($A413,'SegEnds_NonXtal_BW#'!$A:$Z,25,FALSE)+VLOOKUP($A413,A:AL,37,FALSE)-50))</f>
        <v>284</v>
      </c>
      <c r="AK413" s="3">
        <v>287</v>
      </c>
      <c r="AL413" s="3">
        <f>IF(ISERROR((VLOOKUP($A413,'SegEnds_NonXtal_BW#'!$A:$Z,26,FALSE)+VLOOKUP($A413,A:AL,37,FALSE)-50)),"-",(VLOOKUP($A413,'SegEnds_NonXtal_BW#'!$A:$Z,26,FALSE)+VLOOKUP($A413,A:AL,37,FALSE)-50))</f>
        <v>297</v>
      </c>
      <c r="AM413" s="28" t="str">
        <f>VLOOKUP(A413,Classification!A:B,2,FALSE)</f>
        <v>T</v>
      </c>
      <c r="AN413" s="28" t="b">
        <f t="shared" si="292"/>
        <v>1</v>
      </c>
      <c r="AO413" s="3" t="str">
        <f>IF(ISERROR(MATCH(A413,'SegEnds_Xtal_Prot#'!B:B, 0)), "NoXtal", "Xtal")</f>
        <v>NoXtal</v>
      </c>
      <c r="AP413" s="3">
        <f t="shared" si="277"/>
        <v>1</v>
      </c>
      <c r="AQ413" s="3">
        <f t="shared" si="278"/>
        <v>1</v>
      </c>
      <c r="AR413" s="3" t="str">
        <f t="shared" si="279"/>
        <v>-</v>
      </c>
      <c r="AS413" s="3" t="str">
        <f t="shared" si="280"/>
        <v>-</v>
      </c>
      <c r="AT413" s="3">
        <f t="shared" si="281"/>
        <v>3</v>
      </c>
      <c r="AU413" s="3">
        <f t="shared" si="282"/>
        <v>1</v>
      </c>
      <c r="AV413" s="3" t="str">
        <f t="shared" si="283"/>
        <v>-</v>
      </c>
      <c r="AW413" s="3" t="str">
        <f t="shared" si="284"/>
        <v>-</v>
      </c>
      <c r="AX413" s="3">
        <f t="shared" si="285"/>
        <v>10</v>
      </c>
      <c r="AY413" s="3">
        <f t="shared" si="286"/>
        <v>6</v>
      </c>
      <c r="AZ413" s="3">
        <f t="shared" si="287"/>
        <v>1</v>
      </c>
      <c r="BA413" s="3">
        <f>IF(ISERROR(LEN(VLOOKUP(A413,Seqs!A:E,2,FALSE))-AL413),"-",LEN(VLOOKUP(A413,Seqs!A:E,2,FALSE))-AL413)</f>
        <v>2</v>
      </c>
      <c r="BB413" s="16">
        <f t="shared" si="288"/>
        <v>31</v>
      </c>
      <c r="BC413" s="9">
        <f t="shared" si="289"/>
        <v>20</v>
      </c>
      <c r="BD413" s="3">
        <f t="shared" si="290"/>
        <v>31</v>
      </c>
      <c r="BE413" s="3">
        <f t="shared" si="291"/>
        <v>53</v>
      </c>
      <c r="BF413" s="3">
        <f t="shared" si="276"/>
        <v>36</v>
      </c>
    </row>
    <row r="414" spans="1:58" s="3" customFormat="1" x14ac:dyDescent="0.2">
      <c r="A414" s="3" t="s">
        <v>473</v>
      </c>
      <c r="B414" s="3" t="str">
        <f>LOWER(VLOOKUP(A414,Xtal_Templ!A:B,2,FALSE))</f>
        <v>hrh1_human</v>
      </c>
      <c r="C414" s="3">
        <f>VLOOKUP($A414,'SegEnds_NonXtal_BW#'!$A:$Z,3,FALSE)+D414-50</f>
        <v>6</v>
      </c>
      <c r="D414" s="3">
        <v>24</v>
      </c>
      <c r="E414" s="3">
        <f t="shared" si="271"/>
        <v>36</v>
      </c>
      <c r="F414" s="3">
        <f t="shared" si="272"/>
        <v>37</v>
      </c>
      <c r="G414" s="3">
        <v>39</v>
      </c>
      <c r="H414" s="3">
        <f t="shared" si="273"/>
        <v>40</v>
      </c>
      <c r="I414" s="3">
        <f t="shared" si="273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103</v>
      </c>
      <c r="Q414" s="3">
        <f>VLOOKUP($A414,'SegEnds_NonXtal_BW#'!$A:$Z,12,FALSE)+VLOOKUP($A414,A:AL,16,FALSE)-50</f>
        <v>109</v>
      </c>
      <c r="R414" s="3">
        <f t="shared" si="274"/>
        <v>112</v>
      </c>
      <c r="S414" s="3">
        <v>112</v>
      </c>
      <c r="T414" s="100">
        <f t="shared" si="275"/>
        <v>119</v>
      </c>
      <c r="U414" s="9">
        <f>IF(ISERROR(VLOOKUP($A414,'SegEnds_NonXtal_BW#'!$A:$Z,15,FALSE)+VLOOKUP($A414,A:AL,22,FALSE)-50),"-",VLOOKUP($A414,'SegEnds_NonXtal_BW#'!$A:$Z,15,FALSE)+VLOOKUP($A414,A:AL,22,FALSE)-50)</f>
        <v>120</v>
      </c>
      <c r="V414" s="3">
        <v>132</v>
      </c>
      <c r="W414" s="3">
        <f>IF(ISERROR(VLOOKUP($A414,'SegEnds_NonXtal_BW#'!$A:$Z,16,FALSE)+VLOOKUP($A414,A:AL,22,FALSE)-50),"-",(VLOOKUP($A414,'SegEnds_NonXtal_BW#'!$A:$Z,16,FALSE)+VLOOKUP($A414,A:AL,22,FALSE)-50))</f>
        <v>144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162</v>
      </c>
      <c r="AB414" s="3">
        <v>180</v>
      </c>
      <c r="AC414" s="3">
        <f>IF(ISERROR((VLOOKUP($A414,'SegEnds_NonXtal_BW#'!$A:$Z,20,FALSE)+VLOOKUP($A414,A:AL,28,FALSE)-50)),"-",(VLOOKUP($A414,'SegEnds_NonXtal_BW#'!$A:$Z,20,FALSE)+VLOOKUP($A414,A:AL,28,FALSE)-50))</f>
        <v>202</v>
      </c>
      <c r="AD414" s="3">
        <f>IF(ISERROR(VLOOKUP($A414,'SegEnds_NonXtal_BW#'!$A:$Z,21,FALSE)+VLOOKUP($A414,A:AL,31,FALSE)-50),"-",(VLOOKUP($A414,'SegEnds_NonXtal_BW#'!$A:$Z,21,FALSE)+VLOOKUP($A414,A:AL,31,FALSE)-50))</f>
        <v>212</v>
      </c>
      <c r="AE414" s="3">
        <v>233</v>
      </c>
      <c r="AF414" s="3">
        <f>IF(ISERROR((VLOOKUP($A414,'SegEnds_NonXtal_BW#'!$A:$Z,22,FALSE)+VLOOKUP($A414,A:AL,31,FALSE)-50)),"-",(VLOOKUP($A414,'SegEnds_NonXtal_BW#'!$A:$Z,22,FALSE)+VLOOKUP($A414,A:AL,31,FALSE)-50))</f>
        <v>244</v>
      </c>
      <c r="AG414" s="3">
        <f>IF(ISERROR(VLOOKUP($A414,'SegEnds_NonXtal_BW#'!$A:$Z,23,FALSE)+VLOOKUP($A414,A:AL,34,FALSE)-50),"-",(VLOOKUP($A414,'SegEnds_NonXtal_BW#'!$A:$Z,23,FALSE)+VLOOKUP($A414,A:AL,34,FALSE)-50))</f>
        <v>250</v>
      </c>
      <c r="AH414" s="3">
        <v>269</v>
      </c>
      <c r="AI414" s="3">
        <f>IF(ISERROR((VLOOKUP($A414,'SegEnds_NonXtal_BW#'!$A:$Z,24,FALSE)+VLOOKUP($A414,A:AL,34,FALSE)-50)),"-",(VLOOKUP($A414,'SegEnds_NonXtal_BW#'!$A:$Z,24,FALSE)+VLOOKUP($A414,A:AL,34,FALSE)-50))</f>
        <v>275</v>
      </c>
      <c r="AJ414" s="3">
        <f>IF(ISERROR(VLOOKUP($A414,'SegEnds_NonXtal_BW#'!$A:$Z,25,FALSE)+VLOOKUP($A414,A:AL,37,FALSE)-50),"-",(VLOOKUP($A414,'SegEnds_NonXtal_BW#'!$A:$Z,25,FALSE)+VLOOKUP($A414,A:AL,37,FALSE)-50))</f>
        <v>276</v>
      </c>
      <c r="AK414" s="3">
        <v>279</v>
      </c>
      <c r="AL414" s="3">
        <f>IF(ISERROR((VLOOKUP($A414,'SegEnds_NonXtal_BW#'!$A:$Z,26,FALSE)+VLOOKUP($A414,A:AL,37,FALSE)-50)),"-",(VLOOKUP($A414,'SegEnds_NonXtal_BW#'!$A:$Z,26,FALSE)+VLOOKUP($A414,A:AL,37,FALSE)-50))</f>
        <v>289</v>
      </c>
      <c r="AM414" s="28" t="str">
        <f>VLOOKUP(A414,Classification!A:B,2,FALSE)</f>
        <v>T</v>
      </c>
      <c r="AN414" s="28" t="b">
        <f t="shared" si="292"/>
        <v>1</v>
      </c>
      <c r="AO414" s="3" t="str">
        <f>IF(ISERROR(MATCH(A414,'SegEnds_Xtal_Prot#'!B:B, 0)), "NoXtal", "Xtal")</f>
        <v>NoXtal</v>
      </c>
      <c r="AP414" s="3">
        <f t="shared" si="277"/>
        <v>1</v>
      </c>
      <c r="AQ414" s="3">
        <f t="shared" si="278"/>
        <v>1</v>
      </c>
      <c r="AR414" s="3" t="str">
        <f t="shared" si="279"/>
        <v>-</v>
      </c>
      <c r="AS414" s="3" t="str">
        <f t="shared" si="280"/>
        <v>-</v>
      </c>
      <c r="AT414" s="3">
        <f t="shared" si="281"/>
        <v>3</v>
      </c>
      <c r="AU414" s="3">
        <f t="shared" si="282"/>
        <v>1</v>
      </c>
      <c r="AV414" s="3" t="str">
        <f t="shared" si="283"/>
        <v>-</v>
      </c>
      <c r="AW414" s="3" t="str">
        <f t="shared" si="284"/>
        <v>-</v>
      </c>
      <c r="AX414" s="3">
        <f t="shared" si="285"/>
        <v>10</v>
      </c>
      <c r="AY414" s="3">
        <f t="shared" si="286"/>
        <v>6</v>
      </c>
      <c r="AZ414" s="3">
        <f t="shared" si="287"/>
        <v>1</v>
      </c>
      <c r="BA414" s="3">
        <f>IF(ISERROR(LEN(VLOOKUP(A414,Seqs!A:E,2,FALSE))-AL414),"-",LEN(VLOOKUP(A414,Seqs!A:E,2,FALSE))-AL414)</f>
        <v>10</v>
      </c>
      <c r="BB414" s="16">
        <f t="shared" si="288"/>
        <v>31</v>
      </c>
      <c r="BC414" s="9">
        <f t="shared" si="289"/>
        <v>20</v>
      </c>
      <c r="BD414" s="3">
        <f t="shared" si="290"/>
        <v>31</v>
      </c>
      <c r="BE414" s="3">
        <f t="shared" si="291"/>
        <v>53</v>
      </c>
      <c r="BF414" s="3">
        <f t="shared" si="276"/>
        <v>36</v>
      </c>
    </row>
    <row r="415" spans="1:58" s="3" customFormat="1" x14ac:dyDescent="0.2">
      <c r="A415" s="3" t="s">
        <v>474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71"/>
        <v>36</v>
      </c>
      <c r="F415" s="3">
        <f t="shared" si="272"/>
        <v>37</v>
      </c>
      <c r="G415" s="3">
        <v>39</v>
      </c>
      <c r="H415" s="3">
        <f t="shared" si="273"/>
        <v>40</v>
      </c>
      <c r="I415" s="3">
        <f t="shared" si="273"/>
        <v>41</v>
      </c>
      <c r="J415" s="3">
        <v>55</v>
      </c>
      <c r="K415" s="3">
        <f>VLOOKUP($A415,'SegEnds_NonXtal_BW#'!$A:$Z,8,FALSE)+VLOOKUP($A415,A:AL,10,FALSE)-50</f>
        <v>72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78</v>
      </c>
      <c r="P415" s="3">
        <v>107</v>
      </c>
      <c r="Q415" s="3">
        <f>VLOOKUP($A415,'SegEnds_NonXtal_BW#'!$A:$Z,12,FALSE)+VLOOKUP($A415,A:AL,16,FALSE)-50</f>
        <v>113</v>
      </c>
      <c r="R415" s="3">
        <f t="shared" si="274"/>
        <v>116</v>
      </c>
      <c r="S415" s="3">
        <v>116</v>
      </c>
      <c r="T415" s="100">
        <f t="shared" si="275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92"/>
        <v>1</v>
      </c>
      <c r="AO415" s="3" t="str">
        <f>IF(ISERROR(MATCH(A415,'SegEnds_Xtal_Prot#'!B:B, 0)), "NoXtal", "Xtal")</f>
        <v>NoXtal</v>
      </c>
      <c r="AP415" s="3">
        <f t="shared" si="277"/>
        <v>1</v>
      </c>
      <c r="AQ415" s="3">
        <f t="shared" si="278"/>
        <v>1</v>
      </c>
      <c r="AR415" s="3" t="str">
        <f t="shared" si="279"/>
        <v>-</v>
      </c>
      <c r="AS415" s="3" t="str">
        <f t="shared" si="280"/>
        <v>-</v>
      </c>
      <c r="AT415" s="3">
        <f t="shared" si="281"/>
        <v>3</v>
      </c>
      <c r="AU415" s="3">
        <f t="shared" si="282"/>
        <v>1</v>
      </c>
      <c r="AV415" s="3" t="str">
        <f t="shared" si="283"/>
        <v>-</v>
      </c>
      <c r="AW415" s="3" t="str">
        <f t="shared" si="284"/>
        <v>-</v>
      </c>
      <c r="AX415" s="3">
        <f t="shared" si="285"/>
        <v>10</v>
      </c>
      <c r="AY415" s="3">
        <f t="shared" si="286"/>
        <v>6</v>
      </c>
      <c r="AZ415" s="3">
        <f t="shared" si="287"/>
        <v>1</v>
      </c>
      <c r="BA415" s="3">
        <f>IF(ISERROR(LEN(VLOOKUP(A415,Seqs!A:E,2,FALSE))-AL415),"-",LEN(VLOOKUP(A415,Seqs!A:E,2,FALSE))-AL415)</f>
        <v>16</v>
      </c>
      <c r="BB415" s="16">
        <f t="shared" si="288"/>
        <v>31</v>
      </c>
      <c r="BC415" s="9">
        <f t="shared" si="289"/>
        <v>20</v>
      </c>
      <c r="BD415" s="3">
        <f t="shared" si="290"/>
        <v>31</v>
      </c>
      <c r="BE415" s="3">
        <f t="shared" si="291"/>
        <v>53</v>
      </c>
      <c r="BF415" s="3">
        <f t="shared" si="276"/>
        <v>36</v>
      </c>
    </row>
    <row r="416" spans="1:58" s="3" customFormat="1" x14ac:dyDescent="0.2">
      <c r="A416" s="3" t="s">
        <v>475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71"/>
        <v>36</v>
      </c>
      <c r="F416" s="3">
        <f t="shared" si="272"/>
        <v>37</v>
      </c>
      <c r="G416" s="3">
        <v>39</v>
      </c>
      <c r="H416" s="3">
        <f t="shared" si="273"/>
        <v>40</v>
      </c>
      <c r="I416" s="3">
        <f t="shared" si="273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74"/>
        <v>116</v>
      </c>
      <c r="S416" s="3">
        <v>116</v>
      </c>
      <c r="T416" s="100">
        <f t="shared" si="275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292"/>
        <v>1</v>
      </c>
      <c r="AO416" s="3" t="str">
        <f>IF(ISERROR(MATCH(A416,'SegEnds_Xtal_Prot#'!B:B, 0)), "NoXtal", "Xtal")</f>
        <v>NoXtal</v>
      </c>
      <c r="AP416" s="3">
        <f t="shared" si="277"/>
        <v>1</v>
      </c>
      <c r="AQ416" s="3">
        <f t="shared" si="278"/>
        <v>1</v>
      </c>
      <c r="AR416" s="3" t="str">
        <f t="shared" si="279"/>
        <v>-</v>
      </c>
      <c r="AS416" s="3" t="str">
        <f t="shared" si="280"/>
        <v>-</v>
      </c>
      <c r="AT416" s="3">
        <f t="shared" si="281"/>
        <v>3</v>
      </c>
      <c r="AU416" s="3">
        <f t="shared" si="282"/>
        <v>1</v>
      </c>
      <c r="AV416" s="3" t="str">
        <f t="shared" si="283"/>
        <v>-</v>
      </c>
      <c r="AW416" s="3" t="str">
        <f t="shared" si="284"/>
        <v>-</v>
      </c>
      <c r="AX416" s="3">
        <f t="shared" si="285"/>
        <v>10</v>
      </c>
      <c r="AY416" s="3">
        <f t="shared" si="286"/>
        <v>6</v>
      </c>
      <c r="AZ416" s="3">
        <f t="shared" si="287"/>
        <v>1</v>
      </c>
      <c r="BA416" s="3">
        <f>IF(ISERROR(LEN(VLOOKUP(A416,Seqs!A:E,2,FALSE))-AL416),"-",LEN(VLOOKUP(A416,Seqs!A:E,2,FALSE))-AL416)</f>
        <v>7</v>
      </c>
      <c r="BB416" s="16">
        <f t="shared" si="288"/>
        <v>31</v>
      </c>
      <c r="BC416" s="9">
        <f t="shared" si="289"/>
        <v>20</v>
      </c>
      <c r="BD416" s="3">
        <f t="shared" si="290"/>
        <v>31</v>
      </c>
      <c r="BE416" s="3">
        <f t="shared" si="291"/>
        <v>53</v>
      </c>
      <c r="BF416" s="3">
        <f t="shared" si="276"/>
        <v>36</v>
      </c>
    </row>
    <row r="417" spans="1:58" s="3" customFormat="1" x14ac:dyDescent="0.2">
      <c r="A417" s="3" t="s">
        <v>476</v>
      </c>
      <c r="B417" s="3" t="str">
        <f>LOWER(VLOOKUP(A417,Xtal_Templ!A:B,2,FALSE))</f>
        <v>agtr1_human</v>
      </c>
      <c r="C417" s="3">
        <f>VLOOKUP($A417,'SegEnds_NonXtal_BW#'!$A:$Z,3,FALSE)+D417-50</f>
        <v>6</v>
      </c>
      <c r="D417" s="3">
        <v>24</v>
      </c>
      <c r="E417" s="3">
        <f t="shared" si="271"/>
        <v>36</v>
      </c>
      <c r="F417" s="3">
        <f t="shared" si="272"/>
        <v>37</v>
      </c>
      <c r="G417" s="3">
        <v>39</v>
      </c>
      <c r="H417" s="3">
        <f t="shared" si="273"/>
        <v>40</v>
      </c>
      <c r="I417" s="3">
        <f t="shared" si="273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74"/>
        <v>116</v>
      </c>
      <c r="S417" s="3">
        <v>116</v>
      </c>
      <c r="T417" s="100">
        <f t="shared" si="275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150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172</v>
      </c>
      <c r="AB417" s="3">
        <v>190</v>
      </c>
      <c r="AC417" s="3">
        <f>IF(ISERROR((VLOOKUP($A417,'SegEnds_NonXtal_BW#'!$A:$Z,20,FALSE)+VLOOKUP($A417,A:AL,28,FALSE)-50)),"-",(VLOOKUP($A417,'SegEnds_NonXtal_BW#'!$A:$Z,20,FALSE)+VLOOKUP($A417,A:AL,28,FALSE)-50))</f>
        <v>212</v>
      </c>
      <c r="AD417" s="3">
        <f>IF(ISERROR(VLOOKUP($A417,'SegEnds_NonXtal_BW#'!$A:$Z,21,FALSE)+VLOOKUP($A417,A:AL,31,FALSE)-50),"-",(VLOOKUP($A417,'SegEnds_NonXtal_BW#'!$A:$Z,21,FALSE)+VLOOKUP($A417,A:AL,31,FALSE)-50))</f>
        <v>222</v>
      </c>
      <c r="AE417" s="3">
        <v>243</v>
      </c>
      <c r="AF417" s="3">
        <f>IF(ISERROR((VLOOKUP($A417,'SegEnds_NonXtal_BW#'!$A:$Z,22,FALSE)+VLOOKUP($A417,A:AL,31,FALSE)-50)),"-",(VLOOKUP($A417,'SegEnds_NonXtal_BW#'!$A:$Z,22,FALSE)+VLOOKUP($A417,A:AL,31,FALSE)-50))</f>
        <v>254</v>
      </c>
      <c r="AG417" s="3">
        <f>IF(ISERROR(VLOOKUP($A417,'SegEnds_NonXtal_BW#'!$A:$Z,23,FALSE)+VLOOKUP($A417,A:AL,34,FALSE)-50),"-",(VLOOKUP($A417,'SegEnds_NonXtal_BW#'!$A:$Z,23,FALSE)+VLOOKUP($A417,A:AL,34,FALSE)-50))</f>
        <v>260</v>
      </c>
      <c r="AH417" s="3">
        <v>279</v>
      </c>
      <c r="AI417" s="3">
        <f>IF(ISERROR((VLOOKUP($A417,'SegEnds_NonXtal_BW#'!$A:$Z,24,FALSE)+VLOOKUP($A417,A:AL,34,FALSE)-50)),"-",(VLOOKUP($A417,'SegEnds_NonXtal_BW#'!$A:$Z,24,FALSE)+VLOOKUP($A417,A:AL,34,FALSE)-50))</f>
        <v>285</v>
      </c>
      <c r="AJ417" s="3">
        <f>IF(ISERROR(VLOOKUP($A417,'SegEnds_NonXtal_BW#'!$A:$Z,25,FALSE)+VLOOKUP($A417,A:AL,37,FALSE)-50),"-",(VLOOKUP($A417,'SegEnds_NonXtal_BW#'!$A:$Z,25,FALSE)+VLOOKUP($A417,A:AL,37,FALSE)-50))</f>
        <v>286</v>
      </c>
      <c r="AK417" s="3">
        <v>289</v>
      </c>
      <c r="AL417" s="3">
        <f>IF(ISERROR((VLOOKUP($A417,'SegEnds_NonXtal_BW#'!$A:$Z,26,FALSE)+VLOOKUP($A417,A:AL,37,FALSE)-50)),"-",(VLOOKUP($A417,'SegEnds_NonXtal_BW#'!$A:$Z,26,FALSE)+VLOOKUP($A417,A:AL,37,FALSE)-50))</f>
        <v>299</v>
      </c>
      <c r="AM417" s="28" t="str">
        <f>VLOOKUP(A417,Classification!A:B,2,FALSE)</f>
        <v>T</v>
      </c>
      <c r="AN417" s="28" t="b">
        <f t="shared" si="292"/>
        <v>1</v>
      </c>
      <c r="AO417" s="3" t="str">
        <f>IF(ISERROR(MATCH(A417,'SegEnds_Xtal_Prot#'!B:B, 0)), "NoXtal", "Xtal")</f>
        <v>NoXtal</v>
      </c>
      <c r="AP417" s="3">
        <f t="shared" si="277"/>
        <v>1</v>
      </c>
      <c r="AQ417" s="3">
        <f t="shared" si="278"/>
        <v>1</v>
      </c>
      <c r="AR417" s="3" t="str">
        <f t="shared" si="279"/>
        <v>-</v>
      </c>
      <c r="AS417" s="3" t="str">
        <f t="shared" si="280"/>
        <v>-</v>
      </c>
      <c r="AT417" s="3">
        <f t="shared" si="281"/>
        <v>3</v>
      </c>
      <c r="AU417" s="3">
        <f t="shared" si="282"/>
        <v>1</v>
      </c>
      <c r="AV417" s="3" t="str">
        <f t="shared" si="283"/>
        <v>-</v>
      </c>
      <c r="AW417" s="3" t="str">
        <f t="shared" si="284"/>
        <v>-</v>
      </c>
      <c r="AX417" s="3">
        <f t="shared" si="285"/>
        <v>10</v>
      </c>
      <c r="AY417" s="3">
        <f t="shared" si="286"/>
        <v>6</v>
      </c>
      <c r="AZ417" s="3">
        <f t="shared" si="287"/>
        <v>1</v>
      </c>
      <c r="BA417" s="3">
        <f>IF(ISERROR(LEN(VLOOKUP(A417,Seqs!A:E,2,FALSE))-AL417),"-",LEN(VLOOKUP(A417,Seqs!A:E,2,FALSE))-AL417)</f>
        <v>13</v>
      </c>
      <c r="BB417" s="16">
        <f t="shared" si="288"/>
        <v>31</v>
      </c>
      <c r="BC417" s="9">
        <f t="shared" si="289"/>
        <v>20</v>
      </c>
      <c r="BD417" s="3">
        <f t="shared" si="290"/>
        <v>31</v>
      </c>
      <c r="BE417" s="3">
        <f t="shared" si="291"/>
        <v>53</v>
      </c>
      <c r="BF417" s="3">
        <f t="shared" si="276"/>
        <v>36</v>
      </c>
    </row>
    <row r="418" spans="1:58" s="3" customFormat="1" x14ac:dyDescent="0.2">
      <c r="T418" s="100"/>
      <c r="U418" s="9"/>
      <c r="AM418" s="28"/>
      <c r="AN418" s="16"/>
      <c r="BB418" s="16"/>
      <c r="BC418" s="9"/>
    </row>
    <row r="419" spans="1:58" s="3" customFormat="1" x14ac:dyDescent="0.2">
      <c r="T419" s="100"/>
      <c r="U419" s="9"/>
      <c r="AM419" s="28"/>
      <c r="AN419" s="16"/>
      <c r="BB419" s="16"/>
      <c r="BC419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7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7">
    <cfRule type="expression" dxfId="28" priority="25">
      <formula>NOT(OR(C2&lt;E2,C2="-",E2="-"))</formula>
    </cfRule>
  </conditionalFormatting>
  <conditionalFormatting sqref="K2:L2 K3 K4:L417">
    <cfRule type="expression" dxfId="27" priority="29">
      <formula>NOT(OR(G2&lt;K2,G2="-",K2="-"))</formula>
    </cfRule>
  </conditionalFormatting>
  <conditionalFormatting sqref="N2:O2 N4:N18 O3:O18 N19:O417">
    <cfRule type="expression" dxfId="26" priority="31">
      <formula>NOT(OR(I2&lt;N2,I2="-",N2="-"))</formula>
    </cfRule>
  </conditionalFormatting>
  <conditionalFormatting sqref="Q2:R417">
    <cfRule type="expression" dxfId="25" priority="33">
      <formula>NOT(OR(K2&lt;Q2,K2="-",Q2="-"))</formula>
    </cfRule>
  </conditionalFormatting>
  <conditionalFormatting sqref="T2:U417">
    <cfRule type="expression" dxfId="24" priority="35">
      <formula>NOT(OR(M2&lt;T2,M2="-",T2="-"))</formula>
    </cfRule>
  </conditionalFormatting>
  <conditionalFormatting sqref="W2:X417">
    <cfRule type="expression" dxfId="23" priority="37">
      <formula>NOT(OR(O2&lt;W2,O2="-",W2="-"))</formula>
    </cfRule>
  </conditionalFormatting>
  <conditionalFormatting sqref="Z2:AA417">
    <cfRule type="expression" dxfId="22" priority="39">
      <formula>NOT(OR(Q2&lt;Z2,Q2="-",Z2="-"))</formula>
    </cfRule>
  </conditionalFormatting>
  <conditionalFormatting sqref="AC2:AD417">
    <cfRule type="expression" dxfId="21" priority="41">
      <formula>NOT(OR(S2&lt;AC2,S2="-",AC2="-"))</formula>
    </cfRule>
  </conditionalFormatting>
  <conditionalFormatting sqref="AF2:AG417">
    <cfRule type="expression" dxfId="20" priority="43">
      <formula>NOT(OR(U2&lt;AF2,U2="-",AF2="-"))</formula>
    </cfRule>
  </conditionalFormatting>
  <conditionalFormatting sqref="AI2:AJ417">
    <cfRule type="expression" dxfId="19" priority="45">
      <formula>NOT(OR(W2&lt;AI2,W2="-",AI2="-"))</formula>
    </cfRule>
  </conditionalFormatting>
  <conditionalFormatting sqref="AL2:AL417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0"/>
  <sheetViews>
    <sheetView zoomScale="120" zoomScaleNormal="120" zoomScalePageLayoutView="120" workbookViewId="0">
      <pane ySplit="1" topLeftCell="A186" activePane="bottomLeft" state="frozenSplit"/>
      <selection pane="bottomLeft" activeCell="G206" sqref="G20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1199</v>
      </c>
      <c r="C1" s="30" t="s">
        <v>99</v>
      </c>
      <c r="D1" s="30" t="s">
        <v>1222</v>
      </c>
      <c r="E1" s="30" t="s">
        <v>1465</v>
      </c>
      <c r="F1" s="55" t="s">
        <v>13</v>
      </c>
      <c r="G1" s="20" t="s">
        <v>5</v>
      </c>
      <c r="H1" s="4" t="s">
        <v>1359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1315</v>
      </c>
      <c r="P1" s="53" t="s">
        <v>1319</v>
      </c>
      <c r="Q1" s="53" t="s">
        <v>1362</v>
      </c>
      <c r="R1" s="20" t="s">
        <v>9</v>
      </c>
      <c r="S1" s="20" t="s">
        <v>1318</v>
      </c>
      <c r="T1" s="20" t="s">
        <v>12</v>
      </c>
      <c r="U1" s="20" t="s">
        <v>1320</v>
      </c>
      <c r="V1" s="26" t="s">
        <v>1305</v>
      </c>
      <c r="W1" s="30" t="s">
        <v>1306</v>
      </c>
      <c r="X1" s="30" t="s">
        <v>1307</v>
      </c>
      <c r="Y1" s="30" t="s">
        <v>1308</v>
      </c>
      <c r="Z1" s="30" t="s">
        <v>1309</v>
      </c>
      <c r="AA1" s="103" t="s">
        <v>1379</v>
      </c>
      <c r="AB1" s="26" t="s">
        <v>1310</v>
      </c>
      <c r="AC1" s="26" t="s">
        <v>1311</v>
      </c>
      <c r="AD1" s="26" t="s">
        <v>1312</v>
      </c>
      <c r="AE1" s="26" t="s">
        <v>1313</v>
      </c>
      <c r="AF1" s="30" t="s">
        <v>1314</v>
      </c>
      <c r="AG1" s="26" t="s">
        <v>1316</v>
      </c>
      <c r="AH1" s="30" t="s">
        <v>1317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1465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905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907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ccr6_human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fpr2_human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ccr6_human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ccr6_human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1167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1690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ox2r_human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drd3_human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ccr9_human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1692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1168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1318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p2y12_human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5ht2c_human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1436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1447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1"/>
      <c r="G141" s="121"/>
      <c r="H141" s="121"/>
      <c r="I141" s="121"/>
      <c r="J141" s="121"/>
      <c r="K141" s="121"/>
      <c r="L141" s="121"/>
      <c r="M141" s="121"/>
      <c r="N141" s="122" t="s">
        <v>14</v>
      </c>
      <c r="O141" s="121"/>
      <c r="P141" s="121"/>
      <c r="Q141" s="121"/>
      <c r="R141" s="121" t="s">
        <v>9</v>
      </c>
      <c r="S141" s="121"/>
      <c r="T141" s="121" t="s">
        <v>12</v>
      </c>
      <c r="U141" s="121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ghsr_human</v>
      </c>
      <c r="C142" s="2" t="str">
        <f>VLOOKUP(A142,Classification!A:D,2,FALSE)</f>
        <v>A</v>
      </c>
      <c r="D142" s="2" t="str">
        <f>IF(ISERROR(MATCH(A142,'SegEnds_Xtal_Prot#'!B:B, 0)), "NoXtal", "Xtal")</f>
        <v>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ghsr_human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ghsr_human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ghsr_human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909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911</v>
      </c>
      <c r="B157" s="2" t="str">
        <f>LOWER(VLOOKUP(A157,Xtal_Templ!A:B,2,FALSE))</f>
        <v>oprd_mouse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1318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par2_human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oprk_human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oxyr_human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913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oprd_human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oxyr_human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2" t="s">
        <v>5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5ht2a_human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oprd_human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1169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106" t="s">
        <v>5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ccr5_human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oxyr_human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G185" s="106" t="s">
        <v>5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oxyr_human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106" t="s">
        <v>5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915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915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915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917</v>
      </c>
      <c r="B196" s="2" t="str">
        <f>LOWER(VLOOKUP(A196,Xtal_Templ!A:B,2,FALSE))</f>
        <v>opsd_todpa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1359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oxyr_human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ednrb_human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1170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oxyr_human</v>
      </c>
      <c r="C206" s="2" t="str">
        <f>VLOOKUP(A206,Classification!A:D,2,FALSE)</f>
        <v>A</v>
      </c>
      <c r="D206" s="2" t="str">
        <f>IF(ISERROR(MATCH(A206,'SegEnds_Xtal_Prot#'!B:B, 0)), "NoXtal", "Xtal")</f>
        <v>Xtal</v>
      </c>
      <c r="G206" s="106" t="s">
        <v>5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5ht2a_human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oxyr_human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1171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npy1r_human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1318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1318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par2_human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ccr7_human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mtr1a_human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cltr2_human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ccr9_human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1318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ptafr_human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1593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oprk_human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ptafr_human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1318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1318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1318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1318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par2_human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ccr6_human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1318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oprk_human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cxcr4_human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1318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1318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aa1r_human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1318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919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1503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1633</v>
      </c>
      <c r="B301" s="2" t="str">
        <f>LOWER(VLOOKUP(A301,Xtal_Templ!A:B,2,FALSE))</f>
        <v>ada2b_human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1636</v>
      </c>
      <c r="B302" s="2" t="str">
        <f>LOWER(VLOOKUP(A302,Xtal_Templ!A:B,2,FALSE))</f>
        <v>ccr2_human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1318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1638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1319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52" t="s">
        <v>25</v>
      </c>
      <c r="K306" s="107"/>
      <c r="P306" s="2" t="s">
        <v>1319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pacr_human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1319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sctr_human</v>
      </c>
      <c r="C316" s="2" t="str">
        <f>VLOOKUP(A316,Classification!A:D,2,FALSE)</f>
        <v>B1</v>
      </c>
      <c r="D316" s="2" t="str">
        <f>IF(ISERROR(MATCH(A316,'SegEnds_Xtal_Prot#'!B:B, 0)), "NoXtal", "Xtal")</f>
        <v>Xtal</v>
      </c>
      <c r="H316" s="4"/>
      <c r="J316" s="106" t="s">
        <v>25</v>
      </c>
      <c r="P316" s="2" t="s">
        <v>1319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sctr_human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1319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pacr_human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1319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1416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1319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1172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1174</v>
      </c>
      <c r="B322" s="2" t="str">
        <f>LOWER(VLOOKUP(A322,Xtal_Templ!A:B,2,FALSE))</f>
        <v>sctr_human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1175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1177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1178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1179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1180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1181</v>
      </c>
      <c r="B329" s="2" t="str">
        <f>LOWER(VLOOKUP(A329,Xtal_Templ!A:B,2,FALSE))</f>
        <v>sctr_human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1182</v>
      </c>
      <c r="B330" s="2" t="str">
        <f>LOWER(VLOOKUP(A330,Xtal_Templ!A:B,2,FALSE))</f>
        <v>sctr_human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1183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1184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1185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1186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1187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1188</v>
      </c>
      <c r="B336" s="2" t="str">
        <f>LOWER(VLOOKUP(A336,Xtal_Templ!A:B,2,FALSE))</f>
        <v>glr_human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1189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1190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1191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1192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1193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1194</v>
      </c>
      <c r="B342" s="2" t="str">
        <f>LOWER(VLOOKUP(A342,Xtal_Templ!A:B,2,FALSE))</f>
        <v>sctr_human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1195</v>
      </c>
      <c r="B343" s="2" t="str">
        <f>LOWER(VLOOKUP(A343,Xtal_Templ!A:B,2,FALSE))</f>
        <v>sctr_human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1196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1197</v>
      </c>
      <c r="B345" s="2" t="str">
        <f>LOWER(VLOOKUP(A345,Xtal_Templ!A:B,2,FALSE))</f>
        <v>sctr_human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1693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sctr_human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1409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1695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1694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crfr2_human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gabr1_human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H353" s="4"/>
      <c r="U353" s="2" t="s">
        <v>1320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gabr2_human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1320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1320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gabr2_human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1320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1320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1320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1320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1320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1320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1320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1320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1320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1320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gabr2_human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1320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1320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1320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1320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1320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1320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1320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1320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1319</v>
      </c>
      <c r="V375" s="28" t="str">
        <f>MID(VLOOKUP($A375,Seqs!$A:$B,2,FALSE),VLOOKUP($A375,'SegEnds_NonXtal_Prot#'!A:AL,10,FALSE),1)</f>
        <v>Y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Y</v>
      </c>
      <c r="Y375" s="49" t="str">
        <f>MID(VLOOKUP($A375,Seqs!$A:$B,2,FALSE),VLOOKUP($A375,'SegEnds_NonXtal_Prot#'!A:AL,10,FALSE)+8,1)</f>
        <v>I</v>
      </c>
      <c r="Z375" s="49" t="str">
        <f>MID(VLOOKUP($A375,Seqs!$A:$B,2,FALSE),VLOOKUP($A375,'SegEnds_NonXtal_Prot#'!A:AL,10,FALSE)+9,1)</f>
        <v>A</v>
      </c>
      <c r="AA375" s="49" t="str">
        <f>MID(VLOOKUP($A375,Seqs!$A:$B,2,FALSE),VLOOKUP($A375,'SegEnds_NonXtal_Prot#'!A:AL,10,FALSE)+10,1)</f>
        <v>G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1319</v>
      </c>
      <c r="V376" s="28" t="str">
        <f>MID(VLOOKUP($A376,Seqs!$A:$B,2,FALSE),VLOOKUP($A376,'SegEnds_NonXtal_Prot#'!A:AL,10,FALSE),1)</f>
        <v>Y</v>
      </c>
      <c r="W376" s="49" t="str">
        <f>MID(VLOOKUP($A376,Seqs!$A:$B,2,FALSE),VLOOKUP($A376,'SegEnds_NonXtal_Prot#'!A:AL,10,FALSE)+6,1)</f>
        <v>G</v>
      </c>
      <c r="X376" s="49" t="str">
        <f>MID(VLOOKUP($A376,Seqs!$A:$B,2,FALSE),VLOOKUP($A376,'SegEnds_NonXtal_Prot#'!A:AL,10,FALSE)+7,1)</f>
        <v>Y</v>
      </c>
      <c r="Y376" s="49" t="str">
        <f>MID(VLOOKUP($A376,Seqs!$A:$B,2,FALSE),VLOOKUP($A376,'SegEnds_NonXtal_Prot#'!A:AL,10,FALSE)+8,1)</f>
        <v>L</v>
      </c>
      <c r="Z376" s="49" t="str">
        <f>MID(VLOOKUP($A376,Seqs!$A:$B,2,FALSE),VLOOKUP($A376,'SegEnds_NonXtal_Prot#'!A:AL,10,FALSE)+9,1)</f>
        <v>I</v>
      </c>
      <c r="AA376" s="49" t="str">
        <f>MID(VLOOKUP($A376,Seqs!$A:$B,2,FALSE),VLOOKUP($A376,'SegEnds_NonXtal_Prot#'!A:AL,10,FALSE)+10,1)</f>
        <v>R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1319</v>
      </c>
      <c r="V377" s="28" t="str">
        <f>MID(VLOOKUP($A377,Seqs!$A:$B,2,FALSE),VLOOKUP($A377,'SegEnds_NonXtal_Prot#'!A:AL,10,FALSE),1)</f>
        <v>Y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Y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A</v>
      </c>
      <c r="AA377" s="49" t="str">
        <f>MID(VLOOKUP($A377,Seqs!$A:$B,2,FALSE),VLOOKUP($A377,'SegEnds_NonXtal_Prot#'!A:AL,10,FALSE)+10,1)</f>
        <v>G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1319</v>
      </c>
      <c r="V378" s="28" t="str">
        <f>MID(VLOOKUP($A378,Seqs!$A:$B,2,FALSE),VLOOKUP($A378,'SegEnds_NonXtal_Prot#'!A:AL,10,FALSE),1)</f>
        <v>Y</v>
      </c>
      <c r="W378" s="49" t="str">
        <f>MID(VLOOKUP($A378,Seqs!$A:$B,2,FALSE),VLOOKUP($A378,'SegEnds_NonXtal_Prot#'!A:AL,10,FALSE)+6,1)</f>
        <v>I</v>
      </c>
      <c r="X378" s="49" t="str">
        <f>MID(VLOOKUP($A378,Seqs!$A:$B,2,FALSE),VLOOKUP($A378,'SegEnds_NonXtal_Prot#'!A:AL,10,FALSE)+7,1)</f>
        <v>F</v>
      </c>
      <c r="Y378" s="49" t="str">
        <f>MID(VLOOKUP($A378,Seqs!$A:$B,2,FALSE),VLOOKUP($A378,'SegEnds_NonXtal_Prot#'!A:AL,10,FALSE)+8,1)</f>
        <v>F</v>
      </c>
      <c r="Z378" s="49" t="str">
        <f>MID(VLOOKUP($A378,Seqs!$A:$B,2,FALSE),VLOOKUP($A378,'SegEnds_NonXtal_Prot#'!A:AL,10,FALSE)+9,1)</f>
        <v>I</v>
      </c>
      <c r="AA378" s="49" t="str">
        <f>MID(VLOOKUP($A378,Seqs!$A:$B,2,FALSE),VLOOKUP($A378,'SegEnds_NonXtal_Prot#'!A:AL,10,FALSE)+10,1)</f>
        <v>G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1319</v>
      </c>
      <c r="V379" s="28" t="str">
        <f>MID(VLOOKUP($A379,Seqs!$A:$B,2,FALSE),VLOOKUP($A379,'SegEnds_NonXtal_Prot#'!A:AL,10,FALSE),1)</f>
        <v>Y</v>
      </c>
      <c r="W379" s="49" t="str">
        <f>MID(VLOOKUP($A379,Seqs!$A:$B,2,FALSE),VLOOKUP($A379,'SegEnds_NonXtal_Prot#'!A:AL,10,FALSE)+6,1)</f>
        <v>A</v>
      </c>
      <c r="X379" s="49" t="str">
        <f>MID(VLOOKUP($A379,Seqs!$A:$B,2,FALSE),VLOOKUP($A379,'SegEnds_NonXtal_Prot#'!A:AL,10,FALSE)+7,1)</f>
        <v>Y</v>
      </c>
      <c r="Y379" s="49" t="str">
        <f>MID(VLOOKUP($A379,Seqs!$A:$B,2,FALSE),VLOOKUP($A379,'SegEnds_NonXtal_Prot#'!A:AL,10,FALSE)+8,1)</f>
        <v>I</v>
      </c>
      <c r="Z379" s="49" t="str">
        <f>MID(VLOOKUP($A379,Seqs!$A:$B,2,FALSE),VLOOKUP($A379,'SegEnds_NonXtal_Prot#'!A:AL,10,FALSE)+9,1)</f>
        <v>V</v>
      </c>
      <c r="AA379" s="49" t="str">
        <f>MID(VLOOKUP($A379,Seqs!$A:$B,2,FALSE),VLOOKUP($A379,'SegEnds_NonXtal_Prot#'!A:AL,10,FALSE)+10,1)</f>
        <v>R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1319</v>
      </c>
      <c r="V380" s="28" t="str">
        <f>MID(VLOOKUP($A380,Seqs!$A:$B,2,FALSE),VLOOKUP($A380,'SegEnds_NonXtal_Prot#'!A:AL,10,FALSE),1)</f>
        <v>Y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F</v>
      </c>
      <c r="Y380" s="49" t="str">
        <f>MID(VLOOKUP($A380,Seqs!$A:$B,2,FALSE),VLOOKUP($A380,'SegEnds_NonXtal_Prot#'!A:AL,10,FALSE)+8,1)</f>
        <v>L</v>
      </c>
      <c r="Z380" s="49" t="str">
        <f>MID(VLOOKUP($A380,Seqs!$A:$B,2,FALSE),VLOOKUP($A380,'SegEnds_NonXtal_Prot#'!A:AL,10,FALSE)+9,1)</f>
        <v>V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1319</v>
      </c>
      <c r="V381" s="28" t="str">
        <f>MID(VLOOKUP($A381,Seqs!$A:$B,2,FALSE),VLOOKUP($A381,'SegEnds_NonXtal_Prot#'!A:AL,10,FALSE),1)</f>
        <v>Y</v>
      </c>
      <c r="W381" s="49" t="str">
        <f>MID(VLOOKUP($A381,Seqs!$A:$B,2,FALSE),VLOOKUP($A381,'SegEnds_NonXtal_Prot#'!A:AL,10,FALSE)+6,1)</f>
        <v>M</v>
      </c>
      <c r="X381" s="49" t="str">
        <f>MID(VLOOKUP($A381,Seqs!$A:$B,2,FALSE),VLOOKUP($A381,'SegEnds_NonXtal_Prot#'!A:AL,10,FALSE)+7,1)</f>
        <v>Y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I</v>
      </c>
      <c r="AA381" s="49" t="str">
        <f>MID(VLOOKUP($A381,Seqs!$A:$B,2,FALSE),VLOOKUP($A381,'SegEnds_NonXtal_Prot#'!A:AL,10,FALSE)+10,1)</f>
        <v>G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1319</v>
      </c>
      <c r="V382" s="28" t="str">
        <f>MID(VLOOKUP($A382,Seqs!$A:$B,2,FALSE),VLOOKUP($A382,'SegEnds_NonXtal_Prot#'!A:AL,10,FALSE),1)</f>
        <v>Y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H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A</v>
      </c>
      <c r="AA382" s="49" t="str">
        <f>MID(VLOOKUP($A382,Seqs!$A:$B,2,FALSE),VLOOKUP($A382,'SegEnds_NonXtal_Prot#'!A:AL,10,FALSE)+10,1)</f>
        <v>G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1319</v>
      </c>
      <c r="V383" s="28" t="str">
        <f>MID(VLOOKUP($A383,Seqs!$A:$B,2,FALSE),VLOOKUP($A383,'SegEnds_NonXtal_Prot#'!A:AL,10,FALSE),1)</f>
        <v>Y</v>
      </c>
      <c r="W383" s="49" t="str">
        <f>MID(VLOOKUP($A383,Seqs!$A:$B,2,FALSE),VLOOKUP($A383,'SegEnds_NonXtal_Prot#'!A:AL,10,FALSE)+6,1)</f>
        <v>G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L</v>
      </c>
      <c r="Z383" s="49" t="str">
        <f>MID(VLOOKUP($A383,Seqs!$A:$B,2,FALSE),VLOOKUP($A383,'SegEnds_NonXtal_Prot#'!A:AL,10,FALSE)+9,1)</f>
        <v>V</v>
      </c>
      <c r="AA383" s="49" t="str">
        <f>MID(VLOOKUP($A383,Seqs!$A:$B,2,FALSE),VLOOKUP($A383,'SegEnds_NonXtal_Prot#'!A:AL,10,FALSE)+10,1)</f>
        <v>R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1319</v>
      </c>
      <c r="V384" s="28" t="str">
        <f>MID(VLOOKUP($A384,Seqs!$A:$B,2,FALSE),VLOOKUP($A384,'SegEnds_NonXtal_Prot#'!A:AL,10,FALSE),1)</f>
        <v>Y</v>
      </c>
      <c r="W384" s="49" t="str">
        <f>MID(VLOOKUP($A384,Seqs!$A:$B,2,FALSE),VLOOKUP($A384,'SegEnds_NonXtal_Prot#'!A:AL,10,FALSE)+6,1)</f>
        <v>A</v>
      </c>
      <c r="X384" s="49" t="str">
        <f>MID(VLOOKUP($A384,Seqs!$A:$B,2,FALSE),VLOOKUP($A384,'SegEnds_NonXtal_Prot#'!A:AL,10,FALSE)+7,1)</f>
        <v>F</v>
      </c>
      <c r="Y384" s="49" t="str">
        <f>MID(VLOOKUP($A384,Seqs!$A:$B,2,FALSE),VLOOKUP($A384,'SegEnds_NonXtal_Prot#'!A:AL,10,FALSE)+8,1)</f>
        <v>L</v>
      </c>
      <c r="Z384" s="49" t="str">
        <f>MID(VLOOKUP($A384,Seqs!$A:$B,2,FALSE),VLOOKUP($A384,'SegEnds_NonXtal_Prot#'!A:AL,10,FALSE)+9,1)</f>
        <v>I</v>
      </c>
      <c r="AA384" s="49" t="str">
        <f>MID(VLOOKUP($A384,Seqs!$A:$B,2,FALSE),VLOOKUP($A384,'SegEnds_NonXtal_Prot#'!A:AL,10,FALSE)+10,1)</f>
        <v>R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1319</v>
      </c>
      <c r="V385" s="28" t="str">
        <f>MID(VLOOKUP($A385,Seqs!$A:$B,2,FALSE),VLOOKUP($A385,'SegEnds_NonXtal_Prot#'!A:AL,10,FALSE),1)</f>
        <v>F</v>
      </c>
      <c r="W385" s="49" t="str">
        <f>MID(VLOOKUP($A385,Seqs!$A:$B,2,FALSE),VLOOKUP($A385,'SegEnds_NonXtal_Prot#'!A:AL,10,FALSE)+6,1)</f>
        <v>G</v>
      </c>
      <c r="X385" s="49" t="str">
        <f>MID(VLOOKUP($A385,Seqs!$A:$B,2,FALSE),VLOOKUP($A385,'SegEnds_NonXtal_Prot#'!A:AL,10,FALSE)+7,1)</f>
        <v>W</v>
      </c>
      <c r="Y385" s="49" t="str">
        <f>MID(VLOOKUP($A385,Seqs!$A:$B,2,FALSE),VLOOKUP($A385,'SegEnds_NonXtal_Prot#'!A:AL,10,FALSE)+8,1)</f>
        <v>L</v>
      </c>
      <c r="Z385" s="49" t="str">
        <f>MID(VLOOKUP($A385,Seqs!$A:$B,2,FALSE),VLOOKUP($A385,'SegEnds_NonXtal_Prot#'!A:AL,10,FALSE)+9,1)</f>
        <v>A</v>
      </c>
      <c r="AA385" s="49" t="str">
        <f>MID(VLOOKUP($A385,Seqs!$A:$B,2,FALSE),VLOOKUP($A385,'SegEnds_NonXtal_Prot#'!A:AL,10,FALSE)+10,1)</f>
        <v>Q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1590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1319</v>
      </c>
      <c r="V386" s="28" t="str">
        <f>MID(VLOOKUP($A386,Seqs!$A:$B,2,FALSE),VLOOKUP($A386,'SegEnds_NonXtal_Prot#'!A:AL,10,FALSE),1)</f>
        <v>F</v>
      </c>
      <c r="W386" s="49" t="str">
        <f>MID(VLOOKUP($A386,Seqs!$A:$B,2,FALSE),VLOOKUP($A386,'SegEnds_NonXtal_Prot#'!A:AL,10,FALSE)+6,1)</f>
        <v>G</v>
      </c>
      <c r="X386" s="49" t="str">
        <f>MID(VLOOKUP($A386,Seqs!$A:$B,2,FALSE),VLOOKUP($A386,'SegEnds_NonXtal_Prot#'!A:AL,10,FALSE)+7,1)</f>
        <v>W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A</v>
      </c>
      <c r="AA386" s="49" t="str">
        <f>MID(VLOOKUP($A386,Seqs!$A:$B,2,FALSE),VLOOKUP($A386,'SegEnds_NonXtal_Prot#'!A:AL,10,FALSE)+10,1)</f>
        <v>Q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1491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1319</v>
      </c>
      <c r="V387" s="28" t="str">
        <f>MID(VLOOKUP($A387,Seqs!$A:$B,2,FALSE),VLOOKUP($A387,'SegEnds_NonXtal_Prot#'!A:AL,10,FALSE),1)</f>
        <v>F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W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A</v>
      </c>
      <c r="AA387" s="49" t="str">
        <f>MID(VLOOKUP($A387,Seqs!$A:$B,2,FALSE),VLOOKUP($A387,'SegEnds_NonXtal_Prot#'!A:AL,10,FALSE)+10,1)</f>
        <v>Q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481</v>
      </c>
      <c r="B388" s="2" t="str">
        <f>LOWER(VLOOKUP(A388,Xtal_Templ!A:B,2,FALSE))</f>
        <v>aa2ar_human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G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V</v>
      </c>
      <c r="Z388" s="49" t="str">
        <f>MID(VLOOKUP($A388,Seqs!$A:$B,2,FALSE),VLOOKUP($A388,'SegEnds_NonXtal_Prot#'!A:AL,10,FALSE)+9,1)</f>
        <v>I</v>
      </c>
      <c r="AA388" s="49" t="str">
        <f>MID(VLOOKUP($A388,Seqs!$A:$B,2,FALSE),VLOOKUP($A388,'SegEnds_NonXtal_Prot#'!A:AL,10,FALSE)+10,1)</f>
        <v>R</v>
      </c>
      <c r="AB388" s="28" t="str">
        <f>MID(VLOOKUP($A388,Seqs!$A:$B,2,FALSE),VLOOKUP($A388,'SegEnds_NonXtal_Prot#'!$A:$AL,22,FALSE)+6,1)</f>
        <v>L</v>
      </c>
      <c r="AC388" s="49" t="str">
        <f>MID(VLOOKUP($A388,Seqs!$A:$B,2,FALSE),VLOOKUP($A388,'SegEnds_NonXtal_Prot#'!$A:$AL,22,FALSE)+7,1)</f>
        <v>C</v>
      </c>
      <c r="AD388" s="49" t="str">
        <f>MID(VLOOKUP($A388,Seqs!$A:$B,2,FALSE),VLOOKUP($A388,'SegEnds_NonXtal_Prot#'!$A:$AL,22,FALSE)+8,1)</f>
        <v>V</v>
      </c>
      <c r="AE388" s="49" t="str">
        <f>MID(VLOOKUP($A388,Seqs!$A:$B,2,FALSE),VLOOKUP($A388,'SegEnds_NonXtal_Prot#'!$A:$AL,22,FALSE)+9,1)</f>
        <v>E</v>
      </c>
      <c r="AF388" s="49" t="str">
        <f>MID(VLOOKUP($A388,Seqs!$A:$B,2,FALSE),VLOOKUP($A388,'SegEnds_NonXtal_Prot#'!$A:$AL,22,FALSE)+10,1)</f>
        <v>G</v>
      </c>
      <c r="AG388" s="28" t="str">
        <f>MID(VLOOKUP($A388,Seqs!$A:$B,2,FALSE),VLOOKUP($A388,'SegEnds_NonXtal_Prot#'!$A:$AL,28,FALSE)-4,1)</f>
        <v>T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477</v>
      </c>
      <c r="B389" s="2" t="str">
        <f>LOWER(VLOOKUP(A389,Xtal_Templ!A:B,2,FALSE))</f>
        <v>fpr2_human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F</v>
      </c>
      <c r="X389" s="49" t="str">
        <f>MID(VLOOKUP($A389,Seqs!$A:$B,2,FALSE),VLOOKUP($A389,'SegEnds_NonXtal_Prot#'!A:AL,10,FALSE)+7,1)</f>
        <v>S</v>
      </c>
      <c r="Y389" s="49" t="str">
        <f>MID(VLOOKUP($A389,Seqs!$A:$B,2,FALSE),VLOOKUP($A389,'SegEnds_NonXtal_Prot#'!A:AL,10,FALSE)+8,1)</f>
        <v>F</v>
      </c>
      <c r="Z389" s="49" t="str">
        <f>MID(VLOOKUP($A389,Seqs!$A:$B,2,FALSE),VLOOKUP($A389,'SegEnds_NonXtal_Prot#'!A:AL,10,FALSE)+9,1)</f>
        <v>Y</v>
      </c>
      <c r="AA389" s="49" t="str">
        <f>MID(VLOOKUP($A389,Seqs!$A:$B,2,FALSE),VLOOKUP($A389,'SegEnds_NonXtal_Prot#'!A:AL,10,FALSE)+10,1)</f>
        <v>F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A</v>
      </c>
      <c r="AD389" s="49" t="str">
        <f>MID(VLOOKUP($A389,Seqs!$A:$B,2,FALSE),VLOOKUP($A389,'SegEnds_NonXtal_Prot#'!$A:$AL,22,FALSE)+8,1)</f>
        <v>C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L</v>
      </c>
      <c r="AH389" s="49" t="str">
        <f>MID(VLOOKUP($A389,Seqs!$A:$B,2,FALSE),VLOOKUP($A389,'SegEnds_NonXtal_Prot#'!$A:$AL,28,FALSE),1)</f>
        <v>L</v>
      </c>
    </row>
    <row r="390" spans="1:34" s="2" customFormat="1" x14ac:dyDescent="0.2">
      <c r="A390" s="2" t="s">
        <v>480</v>
      </c>
      <c r="B390" s="2" t="str">
        <f>LOWER(VLOOKUP(A390,Xtal_Templ!A:B,2,FALSE))</f>
        <v>pe2r4_human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M</v>
      </c>
      <c r="X390" s="49" t="str">
        <f>MID(VLOOKUP($A390,Seqs!$A:$B,2,FALSE),VLOOKUP($A390,'SegEnds_NonXtal_Prot#'!A:AL,10,FALSE)+7,1)</f>
        <v>T</v>
      </c>
      <c r="Y390" s="49" t="str">
        <f>MID(VLOOKUP($A390,Seqs!$A:$B,2,FALSE),VLOOKUP($A390,'SegEnds_NonXtal_Prot#'!A:AL,10,FALSE)+8,1)</f>
        <v>V</v>
      </c>
      <c r="Z390" s="49" t="str">
        <f>MID(VLOOKUP($A390,Seqs!$A:$B,2,FALSE),VLOOKUP($A390,'SegEnds_NonXtal_Prot#'!A:AL,10,FALSE)+9,1)</f>
        <v>S</v>
      </c>
      <c r="AA390" s="49" t="str">
        <f>MID(VLOOKUP($A390,Seqs!$A:$B,2,FALSE),VLOOKUP($A390,'SegEnds_NonXtal_Prot#'!A:AL,10,FALSE)+10,1)</f>
        <v>T</v>
      </c>
      <c r="AB390" s="28" t="str">
        <f>MID(VLOOKUP($A390,Seqs!$A:$B,2,FALSE),VLOOKUP($A390,'SegEnds_NonXtal_Prot#'!$A:$AL,22,FALSE)+6,1)</f>
        <v>L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A</v>
      </c>
      <c r="AE390" s="49" t="str">
        <f>MID(VLOOKUP($A390,Seqs!$A:$B,2,FALSE),VLOOKUP($A390,'SegEnds_NonXtal_Prot#'!$A:$AL,22,FALSE)+9,1)</f>
        <v>E</v>
      </c>
      <c r="AF390" s="49" t="str">
        <f>MID(VLOOKUP($A390,Seqs!$A:$B,2,FALSE),VLOOKUP($A390,'SegEnds_NonXtal_Prot#'!$A:$AL,22,FALSE)+10,1)</f>
        <v>D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S</v>
      </c>
    </row>
    <row r="391" spans="1:34" s="2" customFormat="1" x14ac:dyDescent="0.2">
      <c r="A391" s="2" t="s">
        <v>482</v>
      </c>
      <c r="B391" s="2" t="str">
        <f>LOWER(VLOOKUP(A391,Xtal_Templ!A:B,2,FALSE))</f>
        <v>5ht2c_human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D</v>
      </c>
      <c r="W391" s="49" t="str">
        <f>MID(VLOOKUP($A391,Seqs!$A:$B,2,FALSE),VLOOKUP($A391,'SegEnds_NonXtal_Prot#'!A:AL,10,FALSE)+6,1)</f>
        <v>S</v>
      </c>
      <c r="X391" s="49" t="str">
        <f>MID(VLOOKUP($A391,Seqs!$A:$B,2,FALSE),VLOOKUP($A391,'SegEnds_NonXtal_Prot#'!A:AL,10,FALSE)+7,1)</f>
        <v>Y</v>
      </c>
      <c r="Y391" s="49" t="str">
        <f>MID(VLOOKUP($A391,Seqs!$A:$B,2,FALSE),VLOOKUP($A391,'SegEnds_NonXtal_Prot#'!A:AL,10,FALSE)+8,1)</f>
        <v>F</v>
      </c>
      <c r="Z391" s="49" t="str">
        <f>MID(VLOOKUP($A391,Seqs!$A:$B,2,FALSE),VLOOKUP($A391,'SegEnds_NonXtal_Prot#'!A:AL,10,FALSE)+9,1)</f>
        <v>Y</v>
      </c>
      <c r="AA391" s="49" t="str">
        <f>MID(VLOOKUP($A391,Seqs!$A:$B,2,FALSE),VLOOKUP($A391,'SegEnds_NonXtal_Prot#'!A:AL,10,FALSE)+10,1)</f>
        <v>G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L</v>
      </c>
      <c r="AD391" s="49" t="str">
        <f>MID(VLOOKUP($A391,Seqs!$A:$B,2,FALSE),VLOOKUP($A391,'SegEnds_NonXtal_Prot#'!$A:$AL,22,FALSE)+8,1)</f>
        <v>K</v>
      </c>
      <c r="AE391" s="49" t="str">
        <f>MID(VLOOKUP($A391,Seqs!$A:$B,2,FALSE),VLOOKUP($A391,'SegEnds_NonXtal_Prot#'!$A:$AL,22,FALSE)+9,1)</f>
        <v>K</v>
      </c>
      <c r="AF391" s="49" t="str">
        <f>MID(VLOOKUP($A391,Seqs!$A:$B,2,FALSE),VLOOKUP($A391,'SegEnds_NonXtal_Prot#'!$A:$AL,22,FALSE)+10,1)</f>
        <v>I</v>
      </c>
      <c r="AG391" s="28" t="str">
        <f>MID(VLOOKUP($A391,Seqs!$A:$B,2,FALSE),VLOOKUP($A391,'SegEnds_NonXtal_Prot#'!$A:$AL,28,FALSE)-4,1)</f>
        <v>D</v>
      </c>
      <c r="AH391" s="49" t="str">
        <f>MID(VLOOKUP($A391,Seqs!$A:$B,2,FALSE),VLOOKUP($A391,'SegEnds_NonXtal_Prot#'!$A:$AL,28,FALSE),1)</f>
        <v>K</v>
      </c>
    </row>
    <row r="392" spans="1:34" s="2" customFormat="1" x14ac:dyDescent="0.2">
      <c r="A392" s="2" t="s">
        <v>478</v>
      </c>
      <c r="B392" s="2" t="str">
        <f>LOWER(VLOOKUP(A392,Xtal_Templ!A:B,2,FALSE))</f>
        <v>ccr9_human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W</v>
      </c>
      <c r="W392" s="49" t="str">
        <f>MID(VLOOKUP($A392,Seqs!$A:$B,2,FALSE),VLOOKUP($A392,'SegEnds_NonXtal_Prot#'!A:AL,10,FALSE)+6,1)</f>
        <v>K</v>
      </c>
      <c r="X392" s="49" t="str">
        <f>MID(VLOOKUP($A392,Seqs!$A:$B,2,FALSE),VLOOKUP($A392,'SegEnds_NonXtal_Prot#'!A:AL,10,FALSE)+7,1)</f>
        <v>R</v>
      </c>
      <c r="Y392" s="49" t="str">
        <f>MID(VLOOKUP($A392,Seqs!$A:$B,2,FALSE),VLOOKUP($A392,'SegEnds_NonXtal_Prot#'!A:AL,10,FALSE)+8,1)</f>
        <v>R</v>
      </c>
      <c r="Z392" s="49" t="str">
        <f>MID(VLOOKUP($A392,Seqs!$A:$B,2,FALSE),VLOOKUP($A392,'SegEnds_NonXtal_Prot#'!A:AL,10,FALSE)+9,1)</f>
        <v>N</v>
      </c>
      <c r="AA392" s="49" t="str">
        <f>MID(VLOOKUP($A392,Seqs!$A:$B,2,FALSE),VLOOKUP($A392,'SegEnds_NonXtal_Prot#'!A:AL,10,FALSE)+10,1)</f>
        <v>D</v>
      </c>
      <c r="AB392" s="28" t="str">
        <f>MID(VLOOKUP($A392,Seqs!$A:$B,2,FALSE),VLOOKUP($A392,'SegEnds_NonXtal_Prot#'!$A:$AL,22,FALSE)+6,1)</f>
        <v>Y</v>
      </c>
      <c r="AC392" s="49" t="str">
        <f>MID(VLOOKUP($A392,Seqs!$A:$B,2,FALSE),VLOOKUP($A392,'SegEnds_NonXtal_Prot#'!$A:$AL,22,FALSE)+7,1)</f>
        <v>G</v>
      </c>
      <c r="AD392" s="49" t="str">
        <f>MID(VLOOKUP($A392,Seqs!$A:$B,2,FALSE),VLOOKUP($A392,'SegEnds_NonXtal_Prot#'!$A:$AL,22,FALSE)+8,1)</f>
        <v>L</v>
      </c>
      <c r="AE392" s="49" t="str">
        <f>MID(VLOOKUP($A392,Seqs!$A:$B,2,FALSE),VLOOKUP($A392,'SegEnds_NonXtal_Prot#'!$A:$AL,22,FALSE)+9,1)</f>
        <v>W</v>
      </c>
      <c r="AF392" s="49" t="str">
        <f>MID(VLOOKUP($A392,Seqs!$A:$B,2,FALSE),VLOOKUP($A392,'SegEnds_NonXtal_Prot#'!$A:$AL,22,FALSE)+10,1)</f>
        <v>K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468</v>
      </c>
      <c r="B393" s="2" t="str">
        <f>LOWER(VLOOKUP(A393,Xtal_Templ!A:B,2,FALSE))</f>
        <v>oprk_human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V</v>
      </c>
      <c r="Y393" s="49" t="str">
        <f>MID(VLOOKUP($A393,Seqs!$A:$B,2,FALSE),VLOOKUP($A393,'SegEnds_NonXtal_Prot#'!A:AL,10,FALSE)+8,1)</f>
        <v>M</v>
      </c>
      <c r="Z393" s="49" t="str">
        <f>MID(VLOOKUP($A393,Seqs!$A:$B,2,FALSE),VLOOKUP($A393,'SegEnds_NonXtal_Prot#'!A:AL,10,FALSE)+9,1)</f>
        <v>G</v>
      </c>
      <c r="AA393" s="49" t="str">
        <f>MID(VLOOKUP($A393,Seqs!$A:$B,2,FALSE),VLOOKUP($A393,'SegEnds_NonXtal_Prot#'!A:AL,10,FALSE)+10,1)</f>
        <v>K</v>
      </c>
      <c r="AB393" s="28" t="str">
        <f>MID(VLOOKUP($A393,Seqs!$A:$B,2,FALSE),VLOOKUP($A393,'SegEnds_NonXtal_Prot#'!$A:$AL,22,FALSE)+6,1)</f>
        <v>S</v>
      </c>
      <c r="AC393" s="49" t="str">
        <f>MID(VLOOKUP($A393,Seqs!$A:$B,2,FALSE),VLOOKUP($A393,'SegEnds_NonXtal_Prot#'!$A:$AL,22,FALSE)+7,1)</f>
        <v>F</v>
      </c>
      <c r="AD393" s="49" t="str">
        <f>MID(VLOOKUP($A393,Seqs!$A:$B,2,FALSE),VLOOKUP($A393,'SegEnds_NonXtal_Prot#'!$A:$AL,22,FALSE)+8,1)</f>
        <v>T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T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453</v>
      </c>
      <c r="B394" s="2" t="str">
        <f>LOWER(VLOOKUP(A394,Xtal_Templ!A:B,2,FALSE))</f>
        <v>5ht2a_human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E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S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L</v>
      </c>
      <c r="AD394" s="49" t="str">
        <f>MID(VLOOKUP($A394,Seqs!$A:$B,2,FALSE),VLOOKUP($A394,'SegEnds_NonXtal_Prot#'!$A:$AL,22,FALSE)+8,1)</f>
        <v>N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F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472</v>
      </c>
      <c r="B395" s="2" t="str">
        <f>LOWER(VLOOKUP(A395,Xtal_Templ!A:B,2,FALSE))</f>
        <v>5ht1b_human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F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N</v>
      </c>
      <c r="AB395" s="28" t="str">
        <f>MID(VLOOKUP($A395,Seqs!$A:$B,2,FALSE),VLOOKUP($A395,'SegEnds_NonXtal_Prot#'!$A:$AL,22,FALSE)+6,1)</f>
        <v>A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T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C</v>
      </c>
      <c r="AG395" s="28" t="str">
        <f>MID(VLOOKUP($A395,Seqs!$A:$B,2,FALSE),VLOOKUP($A395,'SegEnds_NonXtal_Prot#'!$A:$AL,28,FALSE)-4,1)</f>
        <v>S</v>
      </c>
      <c r="AH395" s="49" t="str">
        <f>MID(VLOOKUP($A395,Seqs!$A:$B,2,FALSE),VLOOKUP($A395,'SegEnds_NonXtal_Prot#'!$A:$AL,28,FALSE),1)</f>
        <v>Q</v>
      </c>
    </row>
    <row r="396" spans="1:34" s="2" customFormat="1" x14ac:dyDescent="0.2">
      <c r="A396" s="2" t="s">
        <v>461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M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E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S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S</v>
      </c>
      <c r="AF396" s="49" t="str">
        <f>MID(VLOOKUP($A396,Seqs!$A:$B,2,FALSE),VLOOKUP($A396,'SegEnds_NonXtal_Prot#'!$A:$AL,22,FALSE)+10,1)</f>
        <v>M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456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L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N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A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457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I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V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458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Q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G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L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F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S</v>
      </c>
      <c r="AB401" s="28" t="str">
        <f>MID(VLOOKUP($A401,Seqs!$A:$B,2,FALSE),VLOOKUP($A401,'SegEnds_NonXtal_Prot#'!$A:$AL,22,FALSE)+6,1)</f>
        <v>C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C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V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463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G</v>
      </c>
      <c r="Y402" s="49" t="str">
        <f>MID(VLOOKUP($A402,Seqs!$A:$B,2,FALSE),VLOOKUP($A402,'SegEnds_NonXtal_Prot#'!A:AL,10,FALSE)+8,1)</f>
        <v>T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H</v>
      </c>
      <c r="AB402" s="28" t="str">
        <f>MID(VLOOKUP($A402,Seqs!$A:$B,2,FALSE),VLOOKUP($A402,'SegEnds_NonXtal_Prot#'!$A:$AL,22,FALSE)+6,1)</f>
        <v>F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I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I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464</v>
      </c>
      <c r="B403" s="2" t="str">
        <f>LOWER(VLOOKUP(A403,Xtal_Templ!A:B,2,FALSE))</f>
        <v>hrh1_human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T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F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I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D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T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465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925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467</v>
      </c>
      <c r="B407" s="2" t="str">
        <f>LOWER(VLOOKUP(A407,Xtal_Templ!A:B,2,FALSE))</f>
        <v>drd2_human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A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L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471</v>
      </c>
      <c r="B408" s="2" t="str">
        <f>LOWER(VLOOKUP(A408,Xtal_Templ!A:B,2,FALSE))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G</v>
      </c>
      <c r="AD408" s="49" t="str">
        <f>MID(VLOOKUP($A408,Seqs!$A:$B,2,FALSE),VLOOKUP($A408,'SegEnds_NonXtal_Prot#'!$A:$AL,22,FALSE)+8,1)</f>
        <v>S</v>
      </c>
      <c r="AE408" s="49" t="str">
        <f>MID(VLOOKUP($A408,Seqs!$A:$B,2,FALSE),VLOOKUP($A408,'SegEnds_NonXtal_Prot#'!$A:$AL,22,FALSE)+9,1)</f>
        <v>T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V</v>
      </c>
      <c r="AC409" s="49" t="str">
        <f>MID(VLOOKUP($A409,Seqs!$A:$B,2,FALSE),VLOOKUP($A409,'SegEnds_NonXtal_Prot#'!$A:$AL,22,FALSE)+7,1)</f>
        <v>F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A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475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M</v>
      </c>
      <c r="Y410" s="49" t="str">
        <f>MID(VLOOKUP($A410,Seqs!$A:$B,2,FALSE),VLOOKUP($A410,'SegEnds_NonXtal_Prot#'!A:AL,10,FALSE)+8,1)</f>
        <v>V</v>
      </c>
      <c r="Z410" s="49" t="str">
        <f>MID(VLOOKUP($A410,Seqs!$A:$B,2,FALSE),VLOOKUP($A410,'SegEnds_NonXtal_Prot#'!A:AL,10,FALSE)+9,1)</f>
        <v>V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V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F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476</v>
      </c>
      <c r="B411" s="2" t="str">
        <f>LOWER(VLOOKUP(A411,Xtal_Templ!A:B,2,FALSE))</f>
        <v>agtr1_human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S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I</v>
      </c>
      <c r="AD411" s="49" t="str">
        <f>MID(VLOOKUP($A411,Seqs!$A:$B,2,FALSE),VLOOKUP($A411,'SegEnds_NonXtal_Prot#'!$A:$AL,22,FALSE)+8,1)</f>
        <v>I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462</v>
      </c>
      <c r="B412" s="2" t="str">
        <f>LOWER(VLOOKUP(A412,Xtal_Templ!A:B,2,FALSE))</f>
        <v>5ht2a_human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W</v>
      </c>
      <c r="X412" s="49" t="str">
        <f>MID(VLOOKUP($A412,Seqs!$A:$B,2,FALSE),VLOOKUP($A412,'SegEnds_NonXtal_Prot#'!A:AL,10,FALSE)+7,1)</f>
        <v>M</v>
      </c>
      <c r="Y412" s="49" t="str">
        <f>MID(VLOOKUP($A412,Seqs!$A:$B,2,FALSE),VLOOKUP($A412,'SegEnds_NonXtal_Prot#'!A:AL,10,FALSE)+8,1)</f>
        <v>M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E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S</v>
      </c>
      <c r="AD412" s="49" t="str">
        <f>MID(VLOOKUP($A412,Seqs!$A:$B,2,FALSE),VLOOKUP($A412,'SegEnds_NonXtal_Prot#'!$A:$AL,22,FALSE)+8,1)</f>
        <v>F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F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470</v>
      </c>
      <c r="B413" s="2" t="str">
        <f>LOWER(VLOOKUP(A413,Xtal_Templ!A:B,2,FALSE))</f>
        <v>cxcr4_human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F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F</v>
      </c>
      <c r="Z413" s="49" t="str">
        <f>MID(VLOOKUP($A413,Seqs!$A:$B,2,FALSE),VLOOKUP($A413,'SegEnds_NonXtal_Prot#'!A:AL,10,FALSE)+9,1)</f>
        <v>Y</v>
      </c>
      <c r="AA413" s="49" t="str">
        <f>MID(VLOOKUP($A413,Seqs!$A:$B,2,FALSE),VLOOKUP($A413,'SegEnds_NonXtal_Prot#'!A:AL,10,FALSE)+10,1)</f>
        <v>V</v>
      </c>
      <c r="AB413" s="28" t="str">
        <f>MID(VLOOKUP($A413,Seqs!$A:$B,2,FALSE),VLOOKUP($A413,'SegEnds_NonXtal_Prot#'!$A:$AL,22,FALSE)+6,1)</f>
        <v>S</v>
      </c>
      <c r="AC413" s="49" t="str">
        <f>MID(VLOOKUP($A413,Seqs!$A:$B,2,FALSE),VLOOKUP($A413,'SegEnds_NonXtal_Prot#'!$A:$AL,22,FALSE)+7,1)</f>
        <v>M</v>
      </c>
      <c r="AD413" s="49" t="str">
        <f>MID(VLOOKUP($A413,Seqs!$A:$B,2,FALSE),VLOOKUP($A413,'SegEnds_NonXtal_Prot#'!$A:$AL,22,FALSE)+8,1)</f>
        <v>I</v>
      </c>
      <c r="AE413" s="49" t="str">
        <f>MID(VLOOKUP($A413,Seqs!$A:$B,2,FALSE),VLOOKUP($A413,'SegEnds_NonXtal_Prot#'!$A:$AL,22,FALSE)+9,1)</f>
        <v>C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E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455</v>
      </c>
      <c r="B414" s="2" t="str">
        <f>LOWER(VLOOKUP(A414,Xtal_Templ!A:B,2,FALSE))</f>
        <v>pd2r2_human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A</v>
      </c>
      <c r="X414" s="49" t="str">
        <f>MID(VLOOKUP($A414,Seqs!$A:$B,2,FALSE),VLOOKUP($A414,'SegEnds_NonXtal_Prot#'!A:AL,10,FALSE)+7,1)</f>
        <v>S</v>
      </c>
      <c r="Y414" s="49" t="str">
        <f>MID(VLOOKUP($A414,Seqs!$A:$B,2,FALSE),VLOOKUP($A414,'SegEnds_NonXtal_Prot#'!A:AL,10,FALSE)+8,1)</f>
        <v>M</v>
      </c>
      <c r="Z414" s="49" t="str">
        <f>MID(VLOOKUP($A414,Seqs!$A:$B,2,FALSE),VLOOKUP($A414,'SegEnds_NonXtal_Prot#'!A:AL,10,FALSE)+9,1)</f>
        <v>L</v>
      </c>
      <c r="AA414" s="49" t="str">
        <f>MID(VLOOKUP($A414,Seqs!$A:$B,2,FALSE),VLOOKUP($A414,'SegEnds_NonXtal_Prot#'!A:AL,10,FALSE)+10,1)</f>
        <v>N</v>
      </c>
      <c r="AB414" s="28" t="str">
        <f>MID(VLOOKUP($A414,Seqs!$A:$B,2,FALSE),VLOOKUP($A414,'SegEnds_NonXtal_Prot#'!$A:$AL,22,FALSE)+6,1)</f>
        <v>C</v>
      </c>
      <c r="AC414" s="49" t="str">
        <f>MID(VLOOKUP($A414,Seqs!$A:$B,2,FALSE),VLOOKUP($A414,'SegEnds_NonXtal_Prot#'!$A:$AL,22,FALSE)+7,1)</f>
        <v>V</v>
      </c>
      <c r="AD414" s="49" t="str">
        <f>MID(VLOOKUP($A414,Seqs!$A:$B,2,FALSE),VLOOKUP($A414,'SegEnds_NonXtal_Prot#'!$A:$AL,22,FALSE)+8,1)</f>
        <v>T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I</v>
      </c>
      <c r="AG414" s="28" t="str">
        <f>MID(VLOOKUP($A414,Seqs!$A:$B,2,FALSE),VLOOKUP($A414,'SegEnds_NonXtal_Prot#'!$A:$AL,28,FALSE)-4,1)</f>
        <v>A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454</v>
      </c>
      <c r="B415" s="2" t="str">
        <f>LOWER(VLOOKUP(A415,Xtal_Templ!A:B,2,FALSE))</f>
        <v>5ht2c_human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L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F</v>
      </c>
      <c r="Z415" s="49" t="str">
        <f>MID(VLOOKUP($A415,Seqs!$A:$B,2,FALSE),VLOOKUP($A415,'SegEnds_NonXtal_Prot#'!A:AL,10,FALSE)+9,1)</f>
        <v>G</v>
      </c>
      <c r="AA415" s="49" t="str">
        <f>MID(VLOOKUP($A415,Seqs!$A:$B,2,FALSE),VLOOKUP($A415,'SegEnds_NonXtal_Prot#'!A:AL,10,FALSE)+10,1)</f>
        <v>S</v>
      </c>
      <c r="AB415" s="28" t="str">
        <f>MID(VLOOKUP($A415,Seqs!$A:$B,2,FALSE),VLOOKUP($A415,'SegEnds_NonXtal_Prot#'!$A:$AL,22,FALSE)+6,1)</f>
        <v>F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F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452</v>
      </c>
      <c r="B416" s="2" t="str">
        <f>LOWER(VLOOKUP(A416,Xtal_Templ!A:B,2,FALSE))</f>
        <v>drd2_human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I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T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F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F</v>
      </c>
    </row>
    <row r="417" spans="1:34" s="2" customFormat="1" x14ac:dyDescent="0.2">
      <c r="A417" s="2" t="s">
        <v>473</v>
      </c>
      <c r="B417" s="2" t="str">
        <f>LOWER(VLOOKUP(A417,Xtal_Templ!A:B,2,FALSE))</f>
        <v>hrh1_human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L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L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L</v>
      </c>
      <c r="AE417" s="49" t="str">
        <f>MID(VLOOKUP($A417,Seqs!$A:$B,2,FALSE),VLOOKUP($A417,'SegEnds_NonXtal_Prot#'!$A:$AL,22,FALSE)+9,1)</f>
        <v>T</v>
      </c>
      <c r="AF417" s="49" t="str">
        <f>MID(VLOOKUP($A417,Seqs!$A:$B,2,FALSE),VLOOKUP($A417,'SegEnds_NonXtal_Prot#'!$A:$AL,22,FALSE)+10,1)</f>
        <v>V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P</v>
      </c>
    </row>
    <row r="418" spans="1:34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7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9"/>
  <sheetViews>
    <sheetView workbookViewId="0">
      <pane ySplit="1" topLeftCell="A177" activePane="bottomLeft" state="frozenSplit"/>
      <selection pane="bottomLeft" activeCell="A199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1152</v>
      </c>
      <c r="C1" s="21" t="s">
        <v>1222</v>
      </c>
      <c r="D1" s="21" t="s">
        <v>1200</v>
      </c>
      <c r="E1" s="21" t="s">
        <v>927</v>
      </c>
    </row>
    <row r="2" spans="1:5" x14ac:dyDescent="0.2">
      <c r="A2" t="s">
        <v>464</v>
      </c>
      <c r="B2" t="s">
        <v>559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590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925</v>
      </c>
      <c r="B4" t="s">
        <v>607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640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693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694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695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696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697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698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699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700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701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702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703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704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705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706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707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708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709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710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711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712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713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873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874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875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876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877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878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872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862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863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864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865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866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867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868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869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870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871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1491</v>
      </c>
      <c r="B44" s="120" t="s">
        <v>1492</v>
      </c>
      <c r="C44" t="s">
        <v>1489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845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849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840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841</v>
      </c>
      <c r="C48" t="str">
        <f>IF(ISERROR(MATCH(A48,'SegEnds_Xtal_Prot#'!B:B, 0)), "NoXtal", "Xtal")</f>
        <v>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842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843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844</v>
      </c>
      <c r="C51" t="str">
        <f>IF(ISERROR(MATCH(A51,'SegEnds_Xtal_Prot#'!B:B, 0)), "NoXtal", "Xtal")</f>
        <v>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846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847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848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850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851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852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853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854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855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856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857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858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859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860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861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1172</v>
      </c>
      <c r="B67" t="s">
        <v>807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1173</v>
      </c>
      <c r="B68" t="s">
        <v>808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1174</v>
      </c>
      <c r="B69" t="s">
        <v>809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1693</v>
      </c>
      <c r="B70" t="s">
        <v>810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1175</v>
      </c>
      <c r="B71" t="s">
        <v>811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1176</v>
      </c>
      <c r="B72" t="s">
        <v>812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813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814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815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1177</v>
      </c>
      <c r="B76" t="s">
        <v>816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1178</v>
      </c>
      <c r="B77" t="s">
        <v>817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1179</v>
      </c>
      <c r="B78" t="s">
        <v>818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1180</v>
      </c>
      <c r="B79" t="s">
        <v>819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1181</v>
      </c>
      <c r="B80" t="s">
        <v>820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1182</v>
      </c>
      <c r="B81" t="s">
        <v>821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1694</v>
      </c>
      <c r="B82" t="s">
        <v>822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1183</v>
      </c>
      <c r="B83" t="s">
        <v>823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1184</v>
      </c>
      <c r="B84" t="s">
        <v>824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1185</v>
      </c>
      <c r="B85" t="s">
        <v>825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1186</v>
      </c>
      <c r="B86" t="s">
        <v>826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1187</v>
      </c>
      <c r="B87" t="s">
        <v>827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1188</v>
      </c>
      <c r="B88" t="s">
        <v>828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1189</v>
      </c>
      <c r="B89" t="s">
        <v>829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1190</v>
      </c>
      <c r="B90" t="s">
        <v>830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1191</v>
      </c>
      <c r="B91" t="s">
        <v>831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1192</v>
      </c>
      <c r="B92" t="s">
        <v>832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1409</v>
      </c>
      <c r="B93" t="s">
        <v>833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1193</v>
      </c>
      <c r="B94" t="s">
        <v>834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1194</v>
      </c>
      <c r="B95" t="s">
        <v>835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1195</v>
      </c>
      <c r="B96" t="s">
        <v>836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1196</v>
      </c>
      <c r="B97" t="s">
        <v>837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1197</v>
      </c>
      <c r="B98" t="s">
        <v>838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1695</v>
      </c>
      <c r="B99" t="s">
        <v>839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801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1398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795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796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797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798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799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800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802</v>
      </c>
      <c r="C109" t="str">
        <f>IF(ISERROR(MATCH(A109,'SegEnds_Xtal_Prot#'!B:B, 0)), "NoXtal", "Xtal")</f>
        <v>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803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804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1586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805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806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1416</v>
      </c>
      <c r="B115" t="s">
        <v>1415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907</v>
      </c>
      <c r="B116" t="s">
        <v>908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911</v>
      </c>
      <c r="B117" t="s">
        <v>912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913</v>
      </c>
      <c r="B118" t="s">
        <v>914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905</v>
      </c>
      <c r="B119" t="s">
        <v>906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909</v>
      </c>
      <c r="B120" t="s">
        <v>910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917</v>
      </c>
      <c r="B121" t="s">
        <v>918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915</v>
      </c>
      <c r="B122" t="s">
        <v>916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1436</v>
      </c>
      <c r="B123" t="s">
        <v>1437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1503</v>
      </c>
      <c r="B124" t="s">
        <v>1504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1447</v>
      </c>
      <c r="B125" t="s">
        <v>1449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919</v>
      </c>
      <c r="B126" t="s">
        <v>920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511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514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519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567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1169</v>
      </c>
      <c r="B138" t="s">
        <v>570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1170</v>
      </c>
      <c r="B139" t="s">
        <v>571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1171</v>
      </c>
      <c r="B140" t="s">
        <v>572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575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1167</v>
      </c>
      <c r="B143" t="s">
        <v>613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1168</v>
      </c>
      <c r="B144" t="s">
        <v>629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639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645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668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671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676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686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504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505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506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507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509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510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512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513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515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516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517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518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520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521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528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530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533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535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536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537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538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539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540</v>
      </c>
      <c r="C199" t="str">
        <f>IF(ISERROR(MATCH(A199,'SegEnds_Xtal_Prot#'!B:B, 0)), "NoXtal", "Xtal")</f>
        <v>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541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549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550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551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554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555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556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557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558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560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561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562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563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564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565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566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569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573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574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576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580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581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585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586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587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588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589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591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595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597</v>
      </c>
      <c r="C248" t="str">
        <f>IF(ISERROR(MATCH(A248,'SegEnds_Xtal_Prot#'!B:B, 0)), "NoXtal", "Xtal")</f>
        <v>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598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599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600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601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602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604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605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606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608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609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610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611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612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614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615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624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625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626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627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628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630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631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634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635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636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637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638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641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642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643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644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650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651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655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657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660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661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662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663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664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665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666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667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669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670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672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673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674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675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680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681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682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683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684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685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687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688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689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690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691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692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720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721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730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731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1692</v>
      </c>
      <c r="B353" t="s">
        <v>734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738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740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741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750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751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760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761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767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768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769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770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771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772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780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781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790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791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792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793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794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1590</v>
      </c>
      <c r="B414" t="s">
        <v>1592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1593</v>
      </c>
      <c r="B415" t="s">
        <v>1595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1633</v>
      </c>
      <c r="B416" t="s">
        <v>1634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1636</v>
      </c>
      <c r="B417" t="s">
        <v>1637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1638</v>
      </c>
      <c r="B418" t="s">
        <v>1639</v>
      </c>
      <c r="C418" t="str">
        <f>IF(ISERROR(MATCH(A418,'SegEnds_Xtal_Prot#'!B:B, 0)), "NoXtal", "Xtal")</f>
        <v>NoXtal</v>
      </c>
      <c r="D418" t="str">
        <f t="shared" ref="D418:D419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1690</v>
      </c>
      <c r="B419" t="s">
        <v>1691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1221</v>
      </c>
      <c r="C1" s="31" t="s">
        <v>1222</v>
      </c>
      <c r="D1" s="30" t="s">
        <v>99</v>
      </c>
      <c r="E1" s="26" t="s">
        <v>1220</v>
      </c>
      <c r="F1" s="26" t="s">
        <v>3</v>
      </c>
      <c r="G1" s="30" t="s">
        <v>1204</v>
      </c>
      <c r="H1" s="30" t="s">
        <v>4</v>
      </c>
      <c r="I1" s="30" t="s">
        <v>1206</v>
      </c>
      <c r="J1" s="30" t="s">
        <v>6</v>
      </c>
      <c r="K1" s="30" t="s">
        <v>1205</v>
      </c>
      <c r="L1" s="30" t="s">
        <v>7</v>
      </c>
      <c r="M1" s="30" t="s">
        <v>1207</v>
      </c>
      <c r="N1" s="30" t="s">
        <v>8</v>
      </c>
      <c r="O1" s="30" t="s">
        <v>10</v>
      </c>
      <c r="P1" s="30" t="s">
        <v>11</v>
      </c>
      <c r="Q1" s="30" t="s">
        <v>1203</v>
      </c>
      <c r="R1" s="26" t="s">
        <v>1056</v>
      </c>
      <c r="S1" s="8" t="s">
        <v>1073</v>
      </c>
      <c r="T1" s="8" t="s">
        <v>1058</v>
      </c>
      <c r="U1" s="8" t="s">
        <v>1075</v>
      </c>
      <c r="V1" s="8" t="s">
        <v>1060</v>
      </c>
      <c r="W1" s="8" t="s">
        <v>1088</v>
      </c>
      <c r="X1" s="8" t="s">
        <v>1062</v>
      </c>
      <c r="Y1" s="8" t="s">
        <v>1091</v>
      </c>
      <c r="Z1" s="8" t="s">
        <v>1064</v>
      </c>
      <c r="AA1" s="8" t="s">
        <v>1066</v>
      </c>
      <c r="AB1" s="8" t="s">
        <v>1068</v>
      </c>
      <c r="AC1" s="8" t="s">
        <v>1070</v>
      </c>
      <c r="AD1" s="26" t="s">
        <v>1057</v>
      </c>
      <c r="AE1" s="8" t="s">
        <v>1074</v>
      </c>
      <c r="AF1" s="8" t="s">
        <v>1059</v>
      </c>
      <c r="AG1" s="8" t="s">
        <v>1076</v>
      </c>
      <c r="AH1" s="8" t="s">
        <v>1061</v>
      </c>
      <c r="AI1" s="8" t="s">
        <v>1089</v>
      </c>
      <c r="AJ1" s="8" t="s">
        <v>1063</v>
      </c>
      <c r="AK1" s="8" t="s">
        <v>1092</v>
      </c>
      <c r="AL1" s="8" t="s">
        <v>1065</v>
      </c>
      <c r="AM1" s="8" t="s">
        <v>1067</v>
      </c>
      <c r="AN1" s="8" t="s">
        <v>1069</v>
      </c>
      <c r="AO1" s="8" t="s">
        <v>1071</v>
      </c>
      <c r="AP1" s="26" t="s">
        <v>1208</v>
      </c>
      <c r="AQ1" s="30" t="s">
        <v>1209</v>
      </c>
      <c r="AR1" s="30" t="s">
        <v>1210</v>
      </c>
      <c r="AS1" s="30" t="s">
        <v>1211</v>
      </c>
      <c r="AT1" s="30" t="s">
        <v>1212</v>
      </c>
      <c r="AU1" s="30" t="s">
        <v>1213</v>
      </c>
      <c r="AV1" s="30" t="s">
        <v>1214</v>
      </c>
      <c r="AW1" s="30" t="s">
        <v>1215</v>
      </c>
      <c r="AX1" s="30" t="s">
        <v>1216</v>
      </c>
      <c r="AY1" s="30" t="s">
        <v>1217</v>
      </c>
      <c r="AZ1" s="30" t="s">
        <v>1218</v>
      </c>
      <c r="BA1" s="30" t="s">
        <v>1219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YYSFKTEQLITLWVLFVFTIVGNSVVLFSTWRRSRMTFFVTQLAITDSFTGLVNILTDINWRFTPDLVCRVVRYLQVVLLYASTYVLVSLSIDRYHAIVYGEKQARVLIVIAWSLSFLFSIPTLIIFSYWTPYMTIVAFLVYFIPLTIISIMYGIVIRTIWIKSKTYETVIGLISKAKIKAIKYSIIIILAFICCWSPYFLFDILDNFNERFYASVIIQNLPALNSAINPLIYCVFSSSISFPCREQRSQDSR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SYWTPYMTIVAFLVYFIPLTIISIMYGIVIRTIWIKSKTYETVI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ERFYASVIIQNLPALNSAINPLIYCVF</v>
      </c>
      <c r="Q2" s="4" t="str">
        <f t="shared" ref="Q2:Q65" si="12">IFERROR(MID($E2,AC2,(BA2+1)),"")</f>
        <v>SSSISFPCREQRSQDSR</v>
      </c>
      <c r="R2" s="5">
        <f>VLOOKUP($A2,'SegEnds_NonXtal_Prot#'!$A:$AL,3,FALSE)</f>
        <v>45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205</v>
      </c>
      <c r="AA2" s="5">
        <f>VLOOKUP($A2,'SegEnds_NonXtal_Prot#'!$A:$AL,30,FALSE)</f>
        <v>263</v>
      </c>
      <c r="AB2" s="5">
        <f>VLOOKUP($A2,'SegEnds_NonXtal_Prot#'!$A:$AL,33,FALSE)</f>
        <v>307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350</v>
      </c>
      <c r="AP2" s="5">
        <f t="shared" ref="AP2:AP65" si="13">IFERROR(AD2-R2,"-")</f>
        <v>32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43</v>
      </c>
      <c r="AY2" s="4">
        <f t="shared" ref="AY2:AY65" si="22">IFERROR(AM2-AA2,"-")</f>
        <v>37</v>
      </c>
      <c r="AZ2" s="4">
        <f t="shared" ref="AZ2:AZ65" si="23">IFERROR(AN2-AB2,"-")</f>
        <v>26</v>
      </c>
      <c r="BA2" s="4">
        <f t="shared" ref="BA2:BA65" si="24">IFERROR(AO2-AC2,"-")</f>
        <v>16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'SegEnds_NonXtal_Prot#'!A160</f>
        <v>hcar2_human</v>
      </c>
      <c r="B13" s="1" t="str">
        <f t="shared" si="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'SegEnds_NonXtal_Prot#'!A184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AIPVIITAVYSVVFVVGLVGNSLVMFVIIRYTATNIYIFNLALADALVTTTMPFQSTVYLMNGDVLCKIVISIDYYNMFTSIFTLTMMSVDRYIAVCHTPLKAKIINICIWLLSSSVGISAIVLGDYSWWDLFMKICVFIFAFVIPVLIIIVCYTLMILRLKSVSREKDRNLRRITRLVLVVVAVFVVCWTPIHIFILVEALGSTAALSSYYFCIALGYTNSSLNPILYAFLDENFKRCFRDFCF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TATNIYIFNLALADALVTTTMPFQSTVYLMN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122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30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MITAITIMALYSIVCVVGLFGNFLVMYVIVRYTATNIYIFNLALADALATSTLPFQSVNYLMGGTILCKIVISIDYYNMFTSIFTLCTMSVDRYIAVCHTPRNAKIINVCNWILSSAIGLPVMFMAPTWYWENLLKICVFIFAFIMPVLIITVCYGLMILRLKSVSKEKDRNLRRITRMVLVVVAVFIVCWTPIHIYVIIKALVTTFQTVSWHFCIALGYTNSCLNPVLYAFLDENFKRCFREFCI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TATNIYIFNLALADALATSTLPFQSVNYLMG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PTWYWENLLKICVFIFAFIMPVLIITVCYGLMILRLKSV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226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133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30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38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MVTAITIMALYSIVCVVGLFGNFLVMYVIVRYTATNIYIFNLALADALATSTLPFQSVNYLMGGNILCKIVISIDYYNMFTSIFTLCTMSVDRYIAVCHTPRNAKIVNVCNWILSSAIGLPVMFMAPTWYWENLLKICVFIFAFIMPVLIITVCYGLMILRLKSVSKEKDRNLRRITRMVLVVVAVFIVCWTPIHIYVIIKALITTFQTVSWHFCIALGYTNSCLNPVLYAFLDENFKRCFREFCI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TATNIYIFNLALADALATSTLPFQSVNYLMG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PTWYWENLLKICVFIFAFIMPVLIITVCYGLMILRLKSV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224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131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30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38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'SegEnds_NonXtal_Prot#'!A280</f>
        <v>gpr75_human</v>
      </c>
      <c r="B28" s="1" t="str">
        <f t="shared" si="0"/>
        <v>IHTATLVTCTFLLAVIFCLGSYGNFIVFLSFFDPTNFDFMILNLSFCDLFICGVTAPMFTFVLFFSSIPDAFCFTFHLTSSGFIIMSLKTVAVIALHRLRMVLGRTASFPCTVLLTLLLWATSFTLATLATLKTAGKGKAILSLYVVDFTFCVAVVSVSYIMIAQTLRKNAQVRKCPPNLSTAKDSKAVVTCVIIVLSVLVCCLPLGISLVQVVLSLYQFELFGFTLIFFKSGLNPFIYSRNSAGLRRKVLWCLQYIGLGFFC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RTASFPCTVLLTLLLWATSFTLATLATLKT</v>
      </c>
      <c r="M28" s="4" t="str">
        <f t="shared" si="8"/>
        <v>CLP</v>
      </c>
      <c r="N28" s="4" t="str">
        <f t="shared" si="9"/>
        <v>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SAGLRRKVLWCLQYIGLGFFC</v>
      </c>
      <c r="R28" s="5">
        <f>VLOOKUP($A28,'SegEnds_NonXtal_Prot#'!$A:$AL,3,FALSE)</f>
        <v>37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154</v>
      </c>
      <c r="Y28" s="5">
        <f>VLOOKUP($A28,'SegEnds_NonXtal_Prot#'!$A:$AL,24,FALSE)</f>
        <v>189</v>
      </c>
      <c r="Z28" s="5">
        <f>VLOOKUP($A28,'SegEnds_NonXtal_Prot#'!$A:$AL,27,FALSE)</f>
        <v>197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400</v>
      </c>
      <c r="AP28" s="5">
        <f t="shared" si="13"/>
        <v>33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29</v>
      </c>
      <c r="AW28" s="4">
        <f t="shared" si="20"/>
        <v>2</v>
      </c>
      <c r="AX28" s="4">
        <f t="shared" si="21"/>
        <v>43</v>
      </c>
      <c r="AY28" s="4">
        <f t="shared" si="22"/>
        <v>37</v>
      </c>
      <c r="AZ28" s="4">
        <f t="shared" si="23"/>
        <v>25</v>
      </c>
      <c r="BA28" s="4">
        <f t="shared" si="24"/>
        <v>20</v>
      </c>
    </row>
    <row r="29" spans="1:53" x14ac:dyDescent="0.2">
      <c r="A29" s="1" t="str">
        <f>'SegEnds_NonXtal_Prot#'!A297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578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47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'SegEnds_NonXtal_Prot#'!A393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'SegEnds_NonXtal_Prot#'!A402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'SegEnds_NonXtal_Prot#'!A408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LTLSGKIRVTVTFFLFLLSATFNASFLLKLQKWRMKLLLKHLTLANLLETLIVMPLDGMWNIGELLCKVLSYLKLFSMYAPAFMMVVISLDRSLAITRNSKVGQSMVGLAWILSSVFAGPQLYIFWHQAFYNFFTFSCLFIIPLFIMLICNAKIIFTLTRVLHQDPHQSKNNIPRARLKTLKMTVAFATSFTVCWTPYYVLGIWYWFDEMLNRLSDPVNHFFFLFAFLNPCFDPLIYGYF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LTLSGKIRVTVTFFLFLLSATFNASFLLKLQKW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31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206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32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41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LETETLNKYVVIIAYALVFLLSLLGNSLVMLVILYSSVTDVYLLNLALADLLFALTLPIWAASKVNGTFLCKVVSLLKEVNFYSGILLLACISVDRYLAIVHKRHLVKFVCLGCWGLSMNLSLPFFLFRTAKWRMVLRILPHTFGFIVPLFVMLFCYGFTLRTLFKAKHRAMRVIFAVVLIFLLCWLPYNLVLLADTLMRTQSCERRNNIGRALDATEILGFLHSCLNPIIYAFIGQNFRHGFLKILAMHG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LETETLNKYVVIIAYALVFLLSLLGNSLVMLVILYS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GQNFRHGFLKILAMHG</v>
      </c>
      <c r="R46" s="5">
        <f>VLOOKUP($A46,'SegEnds_NonXtal_Prot#'!$A:$AL,3,FALSE)</f>
        <v>32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324</v>
      </c>
      <c r="AP46" s="5">
        <f t="shared" si="13"/>
        <v>35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15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TPLNYILLNLAVADLFMVFGGFTTTLYTSLHG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101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31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NEELAKLEIAVLAVTFAVAVLGNSSVLLALHRTSRMHLFIRHLSLADLAVAFFQVLPQMCWDIRGPDWLCRVVKHLQVFGMFASAYMLVVMTADRYIAVCHPARRSRLMIAAAWVLSFVLSTPQYFVFWGSRAYVTWMTGGIFVAPVVILGTCYGFICYNIWCNVRGKTASRKSISRAKIRTVKMTFVIVTAYIVCWAPFFIIQMWSVWDSENPTITITALLGSLNSCCNPWIYMFFSGHLLQDCVQSFPCCQN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NEELAKLEIAVLAVTFAVAVLGNSSVLLALHRT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SENPTITITALLGSLNSCCNPWIYMFF</v>
      </c>
      <c r="Q67" s="4" t="str">
        <f t="shared" si="37"/>
        <v>SGHLLQDCVQSFPCCQN</v>
      </c>
      <c r="R67" s="5">
        <f>VLOOKUP($A67,'SegEnds_NonXtal_Prot#'!$A:$AL,3,FALSE)</f>
        <v>47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325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32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26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DEELAKVEIGVLATVLVLATGGNLAVLLTLGQLSRMHLFVLHLALTDLAVALFQVLPQLLWDIQGPDLLCRAVKYLQVLSMFASTYMLLAMTLDRYLAVCHPGQSTYLLIAAPWLLAAIFSLPQVFIFWGPRAYLTWTTLAIFVLPVTMLTACYSLICHEICKNLKVKTQAWNTISRAKIRTVKMTFVIVLAYIACWAPFFSVQMWSVWDSTNVAFTISMLLGNLNSCCNPWIYMGFNSHLLPRPLRHLACCGG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WGPRAYLTWTTLAIFVLPVTMLTACYSLICHEICKNLKVKTQAW</v>
      </c>
      <c r="O68" s="4" t="str">
        <f t="shared" si="35"/>
        <v>NTISRAKIRTVKMTFVIVLAYIACWAPFFSVQMWSVWD</v>
      </c>
      <c r="P68" s="4" t="str">
        <f t="shared" si="36"/>
        <v>STNVAFTISMLLGNLNSCCNPWIYMGF</v>
      </c>
      <c r="Q68" s="4" t="str">
        <f t="shared" si="37"/>
        <v>NSHLLPRPLRHLACCGG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194</v>
      </c>
      <c r="AA68" s="5">
        <f>VLOOKUP($A68,'SegEnds_NonXtal_Prot#'!$A:$AL,30,FALSE)</f>
        <v>270</v>
      </c>
      <c r="AB68" s="5">
        <f>VLOOKUP($A68,'SegEnds_NonXtal_Prot#'!$A:$AL,33,FALSE)</f>
        <v>315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358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43</v>
      </c>
      <c r="AY68" s="4">
        <f t="shared" si="47"/>
        <v>37</v>
      </c>
      <c r="AZ68" s="4">
        <f t="shared" si="48"/>
        <v>26</v>
      </c>
      <c r="BA68" s="4">
        <f t="shared" si="49"/>
        <v>16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25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29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33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404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443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PLEARVTRIFLVVVYSIVCFLGILGNGLVIIIATFKMTVNMVWFLNLAVADFLFNVFLPIHITYAAMDGTAMCKISNFLLIHNMFTSVFLLTIISSDRCISVLLSVRLAYMACMVIWVLAFFLSSPSLVFRTHSQMDPVGYSRHMVVTVTRFLCGFLVPVLIITACYLTIVCKLQRNTKKPFKIIVTIIITFFLCWCPYHTLNLLELHHAMPGSVFSLGLPLATALAIANSCMNPILYVFMGQDFKKFKVALF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PLEARVTRIFLVVVYSIVCFLGILGNGLVIIIATFKM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THSQMDPVGYSRHMVVTVTRFLCGFLVPVLIITACYLTIVCKLQRN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</v>
      </c>
      <c r="R118" s="5">
        <f>VLOOKUP($A118,'SegEnds_NonXtal_Prot#'!$A:$AL,3,FALSE)</f>
        <v>33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205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69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331</v>
      </c>
      <c r="AP118" s="5">
        <f t="shared" si="38"/>
        <v>36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45</v>
      </c>
      <c r="AY118" s="4">
        <f t="shared" si="47"/>
        <v>31</v>
      </c>
      <c r="AZ118" s="4">
        <f t="shared" si="48"/>
        <v>31</v>
      </c>
      <c r="BA118" s="4">
        <f t="shared" si="49"/>
        <v>11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PAPLLAGVTATCVALFVVGIAGNLLTMLVVSRFTTTNLYLSSMAFSDLLIFLCMPLDLVRLWQYGDLLCKLFQFVSESCTYATVLTITALSVERYFAICFTKGRVKLVIFVIWAVAFCSAGPIFVLVGLLTVMVWVSSIFFFLPVFCLTVLYSLIGRKLWRRRRGDSLRDQNHKQTVKMLAVVVFAFILCWLPFHVGRYLFSKSAQISQYCNLVSFVLFYLSAAINPILYNIMSKKYRVAVFRLLGFEP</v>
      </c>
      <c r="C142" s="29" t="str">
        <f>IF(ISERROR(MATCH(A142,'SegEnds_Xtal_Prot#'!B:B, 0)), "NoXtal", "Xtal")</f>
        <v>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208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38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'SegEnds_NonXtal_Prot#'!A117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SDERRLPGSAVGWLVCGGLSLLANAWGILSVGAKKPLEFLLCTLAATHMLNVAVPIATYSVVQLRNEGLCKVFVSTFYTLTLATCFSVTSLSYHRMWMVCWAKKQAVHTVMGIWMVSFILSALPAVGGLGFGVCFLLLVGGSVAMGVICTAIALFQTLAVQVGRQADRREPAKTSLQTTGLVTTIVFIYDCLMGFPVLVVSFSSLRAPWMALCVLWCSVAQALLLPVFLWACDRYRADLKAVREK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SDERRLPGSAVGWLVCGGLSLLANAWGILSVGAK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</v>
      </c>
      <c r="R148" s="5">
        <f>VLOOKUP($A148,'SegEnds_NonXtal_Prot#'!$A:$AL,3,FALSE)</f>
        <v>2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313</v>
      </c>
      <c r="AP148" s="5">
        <f t="shared" si="63"/>
        <v>33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13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'SegEnds_NonXtal_Prot#'!A128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'SegEnds_NonXtal_Prot#'!A131</f>
        <v>gpr15_human</v>
      </c>
      <c r="B155" s="1" t="str">
        <f t="shared" si="50"/>
        <v>HSHVPYTSVFLPVFYTAVFLTGVLGNLVLMGALHFKRLIDIFIINLAASDFIFLVTLPLWVDKEASLGSFLCKGSSYMISVNMHCSVLLLTCMSVDRYLAIVWRTDCAYVVCASIWFISCLLGLPTLLSRATPIKLIWSLVALIFTFFVPLLSIVTCYCCIARKLCAHGKHNKKLKKSIKIIFIVVAAFLVSWLPFNTFKFLAIVSHYLPSAILQLGMEVSGPLAFANSCVNPFIYYIFDSYIRRAIVHCLCPCL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HSHVPYTSVFLPVFYTAVFLTGVLGNLVLMGALHFK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DSYIRRAIVHCLCPCL</v>
      </c>
      <c r="R155" s="5">
        <f>VLOOKUP($A155,'SegEnds_NonXtal_Prot#'!$A:$AL,3,FALSE)</f>
        <v>26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188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144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321</v>
      </c>
      <c r="AP155" s="5">
        <f t="shared" si="63"/>
        <v>35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6</v>
      </c>
      <c r="AV155" s="4">
        <f t="shared" si="69"/>
        <v>26</v>
      </c>
      <c r="AW155" s="4">
        <f t="shared" si="70"/>
        <v>2</v>
      </c>
      <c r="AX155" s="4">
        <f t="shared" si="71"/>
        <v>37</v>
      </c>
      <c r="AY155" s="4">
        <f t="shared" si="72"/>
        <v>37</v>
      </c>
      <c r="AZ155" s="4">
        <f t="shared" si="73"/>
        <v>32</v>
      </c>
      <c r="BA155" s="4">
        <f t="shared" si="74"/>
        <v>15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'SegEnds_NonXtal_Prot#'!A134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STVVATAVGVLLGLECGLGLLGNAVALWTFLFRKPYAVYLLNLALADLLLAACLPFLAAFYLSLQGRVGCWALHFLLDLSRSVGMAFLAAVALDRYLRVVHSPQAALGVSGLVWLLMVALTCPGLLISSIIWQEALSCLQFVLPFGLIVFCNAGIIRALQKRPEKQPKLQRAQALVTLVVVLFALCFLPCFLARVLMHIFLCAVAHTSDVTGSLTYLHSVLNPVVYCFSSPTFRSSYRRVFHTLRG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STVVATAVGVLLGLECGLGLLGNAVALWTFLFR</v>
      </c>
      <c r="G163" s="4" t="str">
        <f t="shared" si="52"/>
        <v>VRVW</v>
      </c>
      <c r="H163" s="4" t="str">
        <f t="shared" si="53"/>
        <v>KPYAVYLLNLALADLLLAACLPFLAAFYLSLQ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SPTFRSSYRRVFHTLRG</v>
      </c>
      <c r="R163" s="5">
        <f>VLOOKUP($A163,'SegEnds_NonXtal_Prot#'!$A:$AL,3,FALSE)</f>
        <v>10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174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78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302</v>
      </c>
      <c r="AP163" s="5">
        <f t="shared" si="63"/>
        <v>32</v>
      </c>
      <c r="AQ163" s="4">
        <f t="shared" si="64"/>
        <v>3</v>
      </c>
      <c r="AR163" s="4">
        <f t="shared" si="65"/>
        <v>31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33</v>
      </c>
      <c r="AY163" s="4">
        <f t="shared" si="72"/>
        <v>37</v>
      </c>
      <c r="AZ163" s="4">
        <f t="shared" si="73"/>
        <v>28</v>
      </c>
      <c r="BA163" s="4">
        <f t="shared" si="74"/>
        <v>16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LTWPPAIKLGFYAYLGVLLVLGLLLNSLALWVFCCRTETRIYMTNLAVADLCLLCTLPFVLHSLRDLCQLSQGIYLTNRYMSISLVTAIAVDRYVAVRHSPRQAAAVCAVLWVLVIGSLVARWLLGHNFNSMAFPLLGFYLPLAVVVFCSLKVVTALAQRVGQAEATRKAARMVWANLLVFVVCFLPLHVGLTVRLAVLETIRRALYITSKLSDANCCLDAICYYYMAKEFQEASALAVAPSA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295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15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'SegEnds_NonXtal_Prot#'!A151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TTCIQPSMISSMALPIIYILLCIVGVFGNTLSQWIFLTKTSTHIYLSHLVTANLLVCSAMPFMSIYFLKGQSAQCRVVNFLGTLSMHASMFVSLLILSWIAISRYATLMQQPNFARKLCIYIWGVVLGIIIPVTVYYELGAMISQIAGLIGTTFIGFSFLVVLTSYYSFVSHLRKIIMEKDLTYSSVKRHLLVIQILLIVCFLPYSIFKPIFYVLLNYLIETKNILTCLASARSSTDPIIFLLLDKTFKKTLYNLFTK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ELGAMISQIAGLIGTTFIGFSFLVVLTSYYSFVSHLRKI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193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38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'SegEnds_NonXtal_Prot#'!A154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'SegEnds_NonXtal_Prot#'!A175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FAYQTASVVDTVILPSMIGIICSTGLVGNILIVFTIIRSTVPDIYICNLAVADLVHIVGMPFLIHQWARGGGPLCTIITSLDTCNQFACSAIMTVMSVDRYFALVQTRYKTIRINLGLWAASFILALPVWVYSTSPDDVLWYTLYLTITTFFFPLPLILVCYILILCYTWEMYQQNKNPSVPKQRVMKLTKMVLVLVVVFILSAAPYHVIQLVNLQMFYVGYYLSICLSYASSSINPFLYILLSGNFQKRLPQIQRR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TVPDIYICNLAVADLVHIVGMPFLIHQWARG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TSPDDVLWYTLYLTITTFFFPLPLILVCYILILCYTWEMYQQNK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189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96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30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43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PLGALVPVTAVCLCLFVVGVSGNVVTVMLIGRYTTTNLYLGSMAVSDLLILLGLPFDLYRLWRSGPLLCRLSLYVGEGCTYATLLHMTALSVERYLAICRTRRRVRALIAVLWAVALLSAGPFLFLVGALRVMLWVTTAYFFLPFLCLSILYGLIGRELWSSRRPLSGRERGHRQTVRVLLVVVLAFIICWLPFHVGRIIYINTMYFSQYFNIVALQLFYLSASINPILYNLISKKYRAAAFKLLLARK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243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38</v>
      </c>
      <c r="AY209" s="4">
        <f t="shared" si="97"/>
        <v>37</v>
      </c>
      <c r="AZ209" s="4">
        <f t="shared" si="98"/>
        <v>28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QTELFMPICATYLLIFVVGAVGNGLTCLVILRHTPTNYYLFSLAVSDLLVLLVGLPLELYEMWLLGVGGCYFRTLLFEMVCLASVLNVTALSVERYVAVVHTRAHVRRVLGAVWGLAMLCSLPNTSLHLYNMVVQTTALLFFCLPMAIMSVLYLLIGLRLRRERLLLMQEAQQHDRGRRQVTKMLFVLVVVFGICWAPFHADRVMWSVVHLAFQHVHVISGIFFYLGSAANPVLYSLMSSRFRETFQEALCLGA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QTELFMPICATYLLIFVVGAVGNGLTCLVILRH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56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227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32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42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RSHFFLPVSVVYVPIFVVGVIGNVLVCLVILQHTPTNYYLFSLAVSDLLVLLLGMPLEVYEMWLFGPVGCYFKTALFETVCFASILSITTVSVERYVAILHTRRRALRILGIVWGFSVLFSLPNTSIHIYNFIIQVTSFLFYLLPMTVISVLYYLMALRLKKDKSLEANANIQRPCRKSVNKMLFVLVLVFAICWAPFHIDRLFFSFVAAVFNLVHVVSGVFFYLSSAVNPIIYNLLSRRFQAAFQNVISSFH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RSHFFLPVSVVYVPIFVVGVIGNVLVCLVILQH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41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212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32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39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TATNIYIFNLALADALATSTLPFQSAKYLME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PSWYWDTVTKICVFLFAFVVPILIITVCYGLMLLRLRSV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205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112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38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RSASSLALAIAITALYSAVCAVGLLGNVLVMFGIVRYTATNIYIFNLALADALATSTLPFQSAKYLMEGELLCKAVLSIDYYNMFTSIFTLTMMSVDRYIAVCHTPAKAKLINICIWVLASGVGVPIMVMAPSWYWDTVTKICVFLFAFVVPILIITVCYGLMLLRLRSVSKEKDRSLRRITRMVLVVVGAFVVCWAPIHIFVIVWTLVDPLVVAALHLCIALGYANSSLNPVLYAFLDENFKRCFRQLCRT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TATNIYIFNLALADALATSTLPFQSAKYLME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PSWYWDTVTKICVFLFAFVVPILIITVCYGLMLLRLRSV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205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112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30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38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LGLKVTIVGLYLAVCVGGLLGNCLVMYVILRHTATNIYIFNLALADTLVLLTLPFQGTDILLGGNALCKTVIAIDYYNMFTSTFTLTAMSVDRYVAICHTSSKAQAVNVAIWALASVVGVPVAIMGPQDYWGPVFAICIFLFSFIVPVLVISVCYSLMIRRLRGVSREKDRNLRRITRLVLVVVAVFVGCWTPVQVFVLAQGLGSETAVAILRFCTALGYVNSCLNPILYAFLDENFKACFRKFCC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TATNIYIFNLALADTLVLLTLPFQGTDILLG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PQDYWGPVFAICIFLFSFIVPVLVISVCYSLMIRRLRGV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207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114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30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38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APMPVKFLALRLMVALAYGLVGAIGLLGNLAVLWVLSNCGPPSDTFVFNLALADLGLALTLPFWAAESALDGGALCKMVLTATVLNVYASIFLITALSVARYWVVAMSLFWARIATLAVWAAAALVTVPTAVFGPSRYWLGAYQLQRVVLAFMVPLGVITTSYLLLLAFLQRQDSRVVARSVRILVASFFLCWFPNHVVTLWGVLVKFDNSTFYTIQTYVFPVTTCLAHSNSCLNPVLYCLLRREPRQALAGTFRD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'SegEnds_NonXtal_Prot#'!A239</f>
        <v>ssr5_human</v>
      </c>
      <c r="B250" s="1" t="str">
        <f t="shared" si="75"/>
        <v>VGPAPSAGARAVLVPVLYLLVCAAGLGGNTLVIYVVLRFTVTNIYILNLAVADVLYMLGLPFLATQNAAGPVLCRLVMTLDGVNQFTSVFCLTVMSVDRYLAVVHRPRVAKLASAAAWVLSLCMSLPLLVFAPVGLWGAVFIIYTAVLGFFAPLLVICLCYLLIVVKVRAAGVRVSERKVTRMVLVVVLVFAGCWLPFFTVNIVNLAVEPASAGLYFFVVILSYANSCANPVLYGFLSDNFRQSFQKVLCL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VGPAPSAGARAVLVPVLYLLVCAAGLGGNTLVIYVVLRF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SDNFRQSFQKVLCL</v>
      </c>
      <c r="R250" s="5">
        <f>VLOOKUP($A250,'SegEnds_NonXtal_Prot#'!$A:$AL,3,FALSE)</f>
        <v>30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321</v>
      </c>
      <c r="AP250" s="5">
        <f t="shared" si="88"/>
        <v>38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13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LEYQVVTILLVLIICGLGIVGNIMVVLVVMRTTPTNCYLVSLAVADLMVLVAAGLPNITDSIYGYVGCLCITYLQYLGINASSCSITAFTIERYIAICHTFSRAKKIIIFVWAFTSLYCMLWFFLLISRNYYSPIYLMDFGVFYVVPMILATVLYGFIARILFLNPIPSDPKENSTVSSRKQVTKMLAVVVILFALLWMPYRTLVVVNSFLENWFLLFCRICIYLNSAINPVIYNLMSQKFRAAFRKLCN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TPTNCYLVSLAVADLMVLVAAGLPNITDSIY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ISRNYYSPIYLMDFGVFYVVPMILATVLYGFIARILFLNPIPSDPKE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183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88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30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46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DPLLARAELALLSIVFVAVALSNGLVLAALARRWAPIHVFIGHLCLADLAVALFQVLPQLAWKARGPDALCRAVKYLQMVGMYASSYMILAMTLDRHRAICRSGAHWNRPVLVAWAFSLLLSLPQLFIFWGRRTYVTWIALMVFVAPTLGIAACQVLIFREIHASLVPGPSERAHVSAAVAKTVRMTLVIVVVYVLCWAPFFLVQLWAAWDEGAPFVLLMLLASLNSCTNPWIYASFSSSVSSELRSLLCCARG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DPLLARAELALLSIVFVAVALSNGLVLAALARR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33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200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32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43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'SegEnds_NonXtal_Prot#'!A253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35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140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6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GPPSRRVRLVFLGVILVVAVAGNTTVLCRLCGGRKMDFLLVQLALADLYACGGTALSQLAWELLAATGDLACRFLQLLQASGRGASAHLVVLIALERRRAVRLRPLPARALAALGWLLALLLALPPAFVVWHLQVYAFYEAVAGFVAPVTVLGVACGHLLSVWWRHRPQAPAPAPSALPRAKVQSLKMSLLLALLFVGCELPYFAARLAAAWSEGEGLSAALRVVAMANSALNPFVYLFFQAGDCRLRRQLRKRLGS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GPPSRRVRLVFLGVILVVAVAGNTTVLCRLCGG</v>
      </c>
      <c r="G280" s="4" t="str">
        <f t="shared" si="102"/>
        <v/>
      </c>
      <c r="H280" s="4" t="str">
        <f t="shared" si="103"/>
        <v>RKMDFLLVQLALADLYACGGTALSQLAWELL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EGEGLSAALRVVAMANSALNPFVYLFF</v>
      </c>
      <c r="Q280" s="4" t="str">
        <f t="shared" si="112"/>
        <v>QAGDCRLRRQLRKRLGS</v>
      </c>
      <c r="R280" s="5">
        <f>VLOOKUP($A280,'SegEnds_NonXtal_Prot#'!$A:$AL,3,FALSE)</f>
        <v>38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329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110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372</v>
      </c>
      <c r="AP280" s="5">
        <f t="shared" si="113"/>
        <v>32</v>
      </c>
      <c r="AQ280" s="4" t="str">
        <f t="shared" si="114"/>
        <v>-</v>
      </c>
      <c r="AR280" s="4">
        <f t="shared" si="115"/>
        <v>30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26</v>
      </c>
      <c r="BA280" s="4">
        <f t="shared" si="124"/>
        <v>16</v>
      </c>
    </row>
    <row r="281" spans="1:53" x14ac:dyDescent="0.2">
      <c r="A281" s="1" t="str">
        <f>'SegEnds_NonXtal_Prot#'!A274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'SegEnds_NonXtal_Prot#'!A275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TQLPAPLRISLAIVMLLMTVVGFLGNTVVCIIVYQRSAINLLLATLAFSDIMLSLCCMPFTAVTLITGDHFCRLSATLYWFFVLEGVAILLIISVDRFLIIVQNPRRAKVIIAVSWVLSFCIAGPSLTGWDRAYVVTLVVAVFFAPFGVMLCAYMCILNTVRKNAVRVHNQSSVDLSFKTKAFTTILILFVGFSLCWLPHSVYSLLSVFSRFYCGSSFYATSTCVLWLSYLKSVFNPIVYCWRIKKFREACIELLPQTF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TQLPAPLRISLAIVMLLMTVVGFLGNTVVCIIVYQR</v>
      </c>
      <c r="G284" s="4" t="str">
        <f t="shared" si="102"/>
        <v>PAMR</v>
      </c>
      <c r="H284" s="4" t="str">
        <f t="shared" si="103"/>
        <v>SAINLLLATLAFSDIMLSLCCMPFTAVTLIT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NPRRAKVIIAVSWVLSFCIAGPSLTGW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RFYCGSSFYATSTCVLWLSYLKSVFNPIVYCWR</v>
      </c>
      <c r="Q284" s="4" t="str">
        <f t="shared" si="112"/>
        <v>IKKFREACIELLPQTF</v>
      </c>
      <c r="R284" s="5">
        <f>VLOOKUP($A284,'SegEnds_NonXtal_Prot#'!$A:$AL,3,FALSE)</f>
        <v>27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295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97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170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343</v>
      </c>
      <c r="AP284" s="5">
        <f t="shared" si="113"/>
        <v>35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26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32</v>
      </c>
      <c r="BA284" s="4">
        <f t="shared" si="124"/>
        <v>15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'SegEnds_NonXtal_Prot#'!A279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STLAPLPAPLAVAVPVVYAVICAVGLAGNSAVLYVLLRATVTNLFILNLAIADELFTLVLPINIADFLLGELMCKLIVAIDQYNTFSSLYFLTVMSADRYLVVLATYSAARAVSLAVWGIVTLVVLPFAVFAPEAFWWRASRLYTLVLGFAIPVSTICVLYTTLLCRLHAMAKALERAKKRVTFLVVAILAVCLLCWTPYHLSTVVALTTTPLVIAISYFITSLSYANSCLNPFLYAFLDASFRRNLRQLITC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'SegEnds_NonXtal_Prot#'!A286</f>
        <v>npbw2_human</v>
      </c>
      <c r="B292" s="1" t="str">
        <f t="shared" si="100"/>
        <v>ATFSEPLPFLYVLLPAVYSGICAVGLTGNTAVILVILRATVTNVFILNLAVADGLFTLVLPVNIAEHLLGELLCKLVLAVDHYNIFSSIYFLAVMSVDRYLVVLATYRGAKVASLCVWLGVTVLVLPFFSFAPEQVWFKASRVYTLVLGFVLPVCTICVLYTDLLRRLRAVAKALGKARRKVTVLVLVVLAVCLLCWTPFHLASVVALTTTPLVISMSYVITSLSYANSCLNPFLYAFLDDNFRKNFRSILRC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PEQVWFKASRVYTLVLGFVLPVCTICVLYTDLLRRLRAV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204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38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SPGTYERLALLLGSIGLLGVGNNLLVLVLYYKFTPTHLLLVNISLSDLLVSLFGVTFTFVSCLRNDTVGCVWDGFSGSLFGIVSIATLTVLAYERYIRVVHNFSWAWRAITYIWLYSLAWAGAPLLNDSSFVLFLFLGCLVVPLGVIAHCYGHILYSIRMLRCVEDQVIKILKYEKKLAKMCFLMIFTFLVCWMPYIVICFLVVNGTPTISIVSYLFAKSNTVYNPVIYVFMIRKFRRSLLQLLC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TPTHLLLVNISLSDLLVSLFGVTFTFVSCLRN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105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31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NEALARVEVAVLCLILLLALSGNACVLLALRTTSRLFFFMKHLSIADLVVAVFQVLPQLLWDITPDLLCRLVKYLQVVGMFASTYLLLLMSLDRCLAICQRRRTDRLAVLATWLGCLVASAPQVHIFWGPKAYITWITLAVYIVPVIVLAACYGLISFKIWQNLRLKTAAAKLISKAKIRTVKMTFIIVLAFIVCWTPFFFVQMWSVWKEASAFIIVMLLASLNSCCNPWIYMLFTGHLFHELVQRFLCCSA</v>
      </c>
      <c r="C301" s="29" t="str">
        <f>IF(ISERROR(MATCH(A301,'SegEnds_Xtal_Prot#'!B:B, 0)), "NoXtal", "Xtal")</f>
        <v>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NEALARVEVAVLCLILLLALSGNACVLLALRTT</v>
      </c>
      <c r="G301" s="4" t="str">
        <f t="shared" si="102"/>
        <v>RQKH</v>
      </c>
      <c r="H301" s="4" t="str">
        <f t="shared" si="103"/>
        <v>SRLFFFMKHLSIADLVVAVFQVLPQLLWDIT</v>
      </c>
      <c r="I301" s="4" t="str">
        <f t="shared" si="104"/>
        <v>RFYG</v>
      </c>
      <c r="J301" s="4" t="str">
        <f t="shared" si="105"/>
        <v>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</v>
      </c>
      <c r="P301" s="4" t="str">
        <f t="shared" si="111"/>
        <v>KEASAFIIVMLLASLNSCCNPWIYMLF</v>
      </c>
      <c r="Q301" s="4" t="str">
        <f t="shared" si="112"/>
        <v>TGHLFHELVQRFLCCSA</v>
      </c>
      <c r="R301" s="5">
        <f>VLOOKUP($A301,'SegEnds_NonXtal_Prot#'!$A:$AL,3,FALSE)</f>
        <v>35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104</v>
      </c>
      <c r="V301" s="5">
        <f>VLOOKUP($A301,'SegEnds_NonXtal_Prot#'!$A:$AL,15,FALSE)</f>
        <v>108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306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102</v>
      </c>
      <c r="AG301" s="5">
        <f>VLOOKUP($A301,'SegEnds_NonXtal_Prot#'!$A:$AL,14,FALSE)</f>
        <v>107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300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32</v>
      </c>
      <c r="AQ301" s="4">
        <f t="shared" si="114"/>
        <v>3</v>
      </c>
      <c r="AR301" s="4">
        <f t="shared" si="115"/>
        <v>30</v>
      </c>
      <c r="AS301" s="4">
        <f t="shared" si="116"/>
        <v>3</v>
      </c>
      <c r="AT301" s="4">
        <f t="shared" si="117"/>
        <v>35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36</v>
      </c>
      <c r="AZ301" s="4">
        <f t="shared" si="123"/>
        <v>26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SNEKRHSYLLKLKVMYTVGYSSSLVMLLVALGILCAFCTRNYIHMHLFVSFILRALSNFIKDAVLRAGCKLVMVLFQYCIMANYSWLLVEGLYLHTLLAIKYLQGFVAFGWGSPAIFVALWAIARHFLENASIWWIIRGPVILSILINFILFINILRILMRKLRTNEVSHYKRLARSTLLLIPLFGIHYIVFAFSAMEIQLFFELALGSFQGLVVAVLYCFLNGEVQLEVQKKWQQWHLREFPLHPVA</v>
      </c>
      <c r="C318" s="29" t="str">
        <f>IF(ISERROR(MATCH(A318,'SegEnds_Xtal_Prot#'!B:B, 0)), "NoXtal", "Xtal")</f>
        <v>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NASIWWIIRGPVILSILINFILFINILRILMRKLRT</v>
      </c>
      <c r="O318" s="4" t="str">
        <f t="shared" si="110"/>
        <v>NEVSHYKRLARSTLLLIPLFGIHYIVFAFS</v>
      </c>
      <c r="P318" s="4" t="str">
        <f t="shared" si="111"/>
        <v>AMEIQLFFELALGSFQGLVVAVLYCFL</v>
      </c>
      <c r="Q318" s="4" t="str">
        <f t="shared" si="112"/>
        <v>NGEVQLEVQKKWQQWHLREFPLHPVA</v>
      </c>
      <c r="R318" s="5">
        <f>VLOOKUP($A318,'SegEnds_NonXtal_Prot#'!$A:$AL,3,FALSE)</f>
        <v>131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365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326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36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35</v>
      </c>
      <c r="AY318" s="4">
        <f t="shared" si="122"/>
        <v>29</v>
      </c>
      <c r="AZ318" s="4">
        <f t="shared" si="123"/>
        <v>26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131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36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ELYTQAASLLHPVVYTTAIILLLCLLAVIVSYIYHHSLISLKSWHMLVNLCFHIFLTCVVFVGGISICQAVGIILHYSTLATVLWVGVTARNIYKQVTKRPMLRFYLIGGGIPIIVCGITAAANIKNYWEPSLGAFYGPASFITFVNCMYFLSIFIQLKRHPTFHSQLLGASLTLLLYVALWMFGALAPLDLVFSFVFGATSLSFSAFFVVHHCVNREDVRLAWIMTCCPGRS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TFHSQLLGASLTLLLYVALWMFGALA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1016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25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VLVALAPKEDPVLTVITQVGLTISLLCLFLAILTFLLCNTSTSLHLELSLCLFLAHLLFLTGINRVLCSIIAGLLHFLYLACFTWMLLEGLHLFLTVRNFKKRFMYPVGYGIPAVIIAVSAIVGPQNYDKGFIWSFMGPVAVIILINLVFYFQVLWILRSKLDTRVMTFKAISQLFILGCSWGLGFFMKTIGSIIAYSFTIINTLQGVLLFVVHCLLNRQVRLIILSVISLVPK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DTRVMTFKAISQLFILGCSWGLGFFM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404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25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REIYQGRINELLLSVITWVGIVISLVCLAICISTFCFLTDRNTIHKNLCINLFLAELLFLVGIDKIACPIFAGLLHYFFLAAFSWLCLEGVHLYLLLVESRTKYYYLGGYCFPALVVGIAAAIDYRSYDNYFIWSFIGPVSFVIVVNLVFLMVTLHKMIRSSNIKSWALGAIALLFLLGLTWAFGLLFSVVMAYLFTTFNAFQGVFIFVFHCALQKKVHKEYSKCLRHSYC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NIKSWALGAIALLFLLGLTWAFGLLF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1070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25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EIAYKDGVHELLLTVITWVGIVISLVCLAICIFTFCFFSDRNTIHKNLCINLFIAEFIFLIGIDKIACPIFAGLLHFFFLAAFAWMCLEGVQLYLMLVESRKKYYYVAGYLFPATVVGVSAAIDYKSYDNYFIWSFIGPVTFIILLNIIFLVITLCKMVKHSNIKSWVLGAFALLCLLGLTWSFGLLFTIVMAYLFTIFNAFQGVFIFIFHCALQKKVRKEYGKCFRHSYC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SRKKYYYVAGYLFPATVVGVSAAIDYKSY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NIKSWVLGAFALLCLLGLTWSFGLLF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948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1057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28</v>
      </c>
      <c r="AW343" s="4">
        <f t="shared" si="145"/>
        <v>2</v>
      </c>
      <c r="AX343" s="4">
        <f t="shared" si="146"/>
        <v>33</v>
      </c>
      <c r="AY343" s="4">
        <f t="shared" si="147"/>
        <v>25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SGPSIGIKDYNILTRITQLGIIISLICLAICIFTFWFFSTRTTIHKNLCCSLFLAELVFLVGINTLFCSIIAGLLHYFFLAAFAWMCIEGIHLYLIVVGFLHKNFYIFGYLSPAVVVGFSAALGYRYYENNFIWSFIGPACLIILVNLLAFGVIIYKVFRHTNIRSCARGALALLFLLGTTWIFGVLHSVVTAYLFTVSNAFQGMFIFLFLCVLSRKIQEEYYRLFKNVPC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NIRSCARGALALLFLLGTTWIFGVLH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637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25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2569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2641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27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KLFISVSVLSSLGIVLAVVCLSFNIYNQPNLNNLTAVGCSLALAAVFPLGLQFPFVCQARLWLLGLGFSLGYGSMFTKIWWVHTVFEPWKLYATVGLLVGMDVLTLAIWQIVDKMNTWLGIFYGYKGLLLLLGIFLAYETKDHRAVGMAIYNVAVLCLITAPVTMILAAFAFASLAIVFSSYITLVVLFVPKMRRLITRGEWQSEAQDTMK</v>
      </c>
      <c r="C352" s="29" t="str">
        <f>IF(ISERROR(MATCH(A352,'SegEnds_Xtal_Prot#'!B:B, 0)), "NoXtal", "Xtal")</f>
        <v>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QPNLNNLTAVGCSLALAAVFPLGL</v>
      </c>
      <c r="I352" s="4" t="str">
        <f t="shared" si="129"/>
        <v/>
      </c>
      <c r="J352" s="4" t="str">
        <f t="shared" si="130"/>
        <v>QFPFVCQARLWLLGLGFSLGYGSMFTKIWWVHTVF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KMNTWLGIFYGYKGLLLLLGIFLAYETK</v>
      </c>
      <c r="O352" s="4" t="str">
        <f t="shared" si="135"/>
        <v>DHRAVGMAIYNVAVLCLITAPVTMIL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658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765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649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792</v>
      </c>
      <c r="AM352" s="5">
        <f>VLOOKUP($A352,'SegEnds_NonXtal_Prot#'!$A:$AL,32,FALSE)</f>
        <v>826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23</v>
      </c>
      <c r="AS352" s="4" t="str">
        <f t="shared" si="141"/>
        <v>-</v>
      </c>
      <c r="AT352" s="4">
        <f t="shared" si="142"/>
        <v>34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27</v>
      </c>
      <c r="AY352" s="4">
        <f t="shared" si="147"/>
        <v>25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SLPLYSILSALTILGMIMASAFLFFNIKNSPYMNNLIILGGMLSYASIFLFGSEKTFETLCTVRTWILTVGYTTAFGAMFAKTWRVHAIFKKDQKLLVIVGGMLLIDLCILICWQAVDHMTIWLGIVYAYKGLLMLFGCFLAWETRNVDSKYIGMSVYNVGIMCIIGAAVSFLTQPNVQFCIVALVIIFCSTITLCLVFVPKLITLRTNPDAATQNRRFQF</v>
      </c>
      <c r="C353" s="29" t="str">
        <f>IF(ISERROR(MATCH(A353,'SegEnds_Xtal_Prot#'!B:B, 0)), "NoXtal", "Xtal")</f>
        <v>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SLPLYSILSALTILGMIMASAFLFFNIKN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SEKTFETLCTVRTWILTVGYTTAFGAMFAKTWRVHAIFK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HMTIWLGIVYAYKGLLMLFGCFLAWETRNV</v>
      </c>
      <c r="O353" s="4" t="str">
        <f t="shared" si="135"/>
        <v>DSKYIGMSVYNVGIMCIIGAAVSFLT</v>
      </c>
      <c r="P353" s="4" t="str">
        <f t="shared" si="136"/>
        <v>QPNVQFCIVALVIIFCSTITLCLVFVPKLITLRTN</v>
      </c>
      <c r="Q353" s="4" t="str">
        <f t="shared" si="137"/>
        <v>PDAATQNRRFQF</v>
      </c>
      <c r="R353" s="5">
        <f>VLOOKUP($A353,'SegEnds_NonXtal_Prot#'!$A:$AL,3,FALSE)</f>
        <v>478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545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652</v>
      </c>
      <c r="AA353" s="5">
        <f>VLOOKUP($A353,'SegEnds_NonXtal_Prot#'!$A:$AL,30,FALSE)</f>
        <v>688</v>
      </c>
      <c r="AB353" s="5">
        <f>VLOOKUP($A353,'SegEnds_NonXtal_Prot#'!$A:$AL,33,FALSE)</f>
        <v>716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583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681</v>
      </c>
      <c r="AM353" s="5">
        <f>VLOOKUP($A353,'SegEnds_NonXtal_Prot#'!$A:$AL,32,FALSE)</f>
        <v>713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28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38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29</v>
      </c>
      <c r="AY353" s="4">
        <f t="shared" si="147"/>
        <v>25</v>
      </c>
      <c r="AZ353" s="4">
        <f t="shared" si="148"/>
        <v>34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SPVLLGIVWTFLSCGLLLILFFLAFTIHCSPNLNIVTLLGSCLTYSSAYLFGVGSSMETLIQTRLSMLCIGTSLVFGPILGKSWRLYKVFTKDLQLLGLVAALLMADVILLMTWVLTDYSDVWIALIWGCKGLLLLYGAYLAGLTGHVSLTIMVGVNLLVLAAGLLFVVTRYLHWPNLVFGLTSGGIFVCTTTINCFIFIPQLKQWKAFEEENQTIRRMAK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SPVLLGIVWTFLSCGLLLILFFLAFTIHC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VGSSMETLIQTRLSMLCIGTSLVFGPILGKSWRLYKVFT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YSDVWIALIWGCKGLLLLYGAYLAGLTGHV</v>
      </c>
      <c r="O354" s="4" t="str">
        <f t="shared" si="135"/>
        <v>SLTIMVGVNLLVLAAGLLFVVTRYLH</v>
      </c>
      <c r="P354" s="4" t="str">
        <f t="shared" si="136"/>
        <v>WPNLVFGLTSGGIFVCTTTINCFIFIPQLKQWKAF</v>
      </c>
      <c r="Q354" s="4" t="str">
        <f t="shared" si="137"/>
        <v>EEENQTIRRMAK</v>
      </c>
      <c r="R354" s="5">
        <f>VLOOKUP($A354,'SegEnds_NonXtal_Prot#'!$A:$AL,3,FALSE)</f>
        <v>46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112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220</v>
      </c>
      <c r="AA354" s="5">
        <f>VLOOKUP($A354,'SegEnds_NonXtal_Prot#'!$A:$AL,30,FALSE)</f>
        <v>257</v>
      </c>
      <c r="AB354" s="5">
        <f>VLOOKUP($A354,'SegEnds_NonXtal_Prot#'!$A:$AL,33,FALSE)</f>
        <v>284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150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249</v>
      </c>
      <c r="AM354" s="5">
        <f>VLOOKUP($A354,'SegEnds_NonXtal_Prot#'!$A:$AL,32,FALSE)</f>
        <v>282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28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29</v>
      </c>
      <c r="AY354" s="4">
        <f t="shared" si="147"/>
        <v>25</v>
      </c>
      <c r="AZ354" s="4">
        <f t="shared" si="148"/>
        <v>34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AAVLRAAVLACQACCMLAIFLSMLVSYRCGVVLLETVLFGFLLLYFPVFILYVFRCIALRWVRLLGFAIVYGTIILKLYRVLQLFLSRTAQRSALLSSGRLLRRLGLLLLPVLDRWDYIMVVAELLLLCWGSFLCYATRAVEPRYMGIALHNELLLSAAFHTARFVLHPDWTLLLFFFHTHSTVTTTLALIFIPKFWKLGAPPREEMVDEVCED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AAVLRAAVLACQACCMLAIFLSMLVSYRC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VFRCIALRWVRLLGFAIVYGTIILKLYRVLQLFL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DRWDYIMVVAELLLLCWGSFLCYATRAV</v>
      </c>
      <c r="O356" s="4" t="str">
        <f t="shared" si="135"/>
        <v>EPRYMGIALHNELLLSAAFHTARFVL</v>
      </c>
      <c r="P356" s="4" t="str">
        <f t="shared" si="136"/>
        <v>HPDWTLLLFFFHTHSTVTTTLALIFIPKFWKLGAP</v>
      </c>
      <c r="Q356" s="4" t="str">
        <f t="shared" si="137"/>
        <v>PREEMVDEVCED</v>
      </c>
      <c r="R356" s="5">
        <f>VLOOKUP($A356,'SegEnds_NonXtal_Prot#'!$A:$AL,3,FALSE)</f>
        <v>377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603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475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567</v>
      </c>
      <c r="AM356" s="5">
        <f>VLOOKUP($A356,'SegEnds_NonXtal_Prot#'!$A:$AL,32,FALSE)</f>
        <v>598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28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33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27</v>
      </c>
      <c r="AY356" s="4">
        <f t="shared" si="147"/>
        <v>25</v>
      </c>
      <c r="AZ356" s="4">
        <f t="shared" si="148"/>
        <v>34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485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47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503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47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462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47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491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47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458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47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512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47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574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47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489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47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'SegEnds_NonXtal_Prot#'!A388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'SegEnds_NonXtal_Prot#'!A390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'SegEnds_NonXtal_Prot#'!A391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'SegEnds_NonXtal_Prot#'!A389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'SegEnds_NonXtal_Prot#'!A392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'SegEnds_NonXtal_Prot#'!A394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'SegEnds_NonXtal_Prot#'!A395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'SegEnds_NonXtal_Prot#'!A396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'SegEnds_NonXtal_Prot#'!A397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'SegEnds_NonXtal_Prot#'!A398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'SegEnds_NonXtal_Prot#'!A399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'SegEnds_NonXtal_Prot#'!A400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'SegEnds_NonXtal_Prot#'!A401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'SegEnds_NonXtal_Prot#'!A403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'SegEnds_NonXtal_Prot#'!A404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'SegEnds_NonXtal_Prot#'!A405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'SegEnds_NonXtal_Prot#'!A406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'SegEnds_NonXtal_Prot#'!A407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'SegEnds_NonXtal_Prot#'!A409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'SegEnds_NonXtal_Prot#'!A410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'SegEnds_NonXtal_Prot#'!A411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'SegEnds_NonXtal_Prot#'!A412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'SegEnds_NonXtal_Prot#'!A413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'SegEnds_NonXtal_Prot#'!A414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'SegEnds_NonXtal_Prot#'!A415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'SegEnds_NonXtal_Prot#'!A416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workbookViewId="0">
      <selection activeCell="A3" sqref="A3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1153</v>
      </c>
      <c r="B1" s="32" t="s">
        <v>1111</v>
      </c>
      <c r="C1" s="32" t="s">
        <v>1399</v>
      </c>
      <c r="D1" s="33" t="s">
        <v>1223</v>
      </c>
      <c r="E1" s="32" t="s">
        <v>1400</v>
      </c>
      <c r="F1" s="32" t="s">
        <v>1401</v>
      </c>
      <c r="G1" s="85" t="s">
        <v>1364</v>
      </c>
      <c r="H1" s="32" t="s">
        <v>1489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905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925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1167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1182</v>
      </c>
      <c r="B22" s="1" t="s">
        <v>410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1192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1197</v>
      </c>
      <c r="B24" s="1" t="s">
        <v>410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1190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1188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1179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1186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1180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1181</v>
      </c>
      <c r="B30" s="1" t="s">
        <v>410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1185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1178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1177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1183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1193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1187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1191</v>
      </c>
      <c r="B37" s="1" t="s">
        <v>408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1409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1189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1695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1172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1173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1174</v>
      </c>
      <c r="B43" s="1" t="s">
        <v>410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410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1196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1195</v>
      </c>
      <c r="B47" s="1" t="s">
        <v>410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1176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1194</v>
      </c>
      <c r="B49" s="1" t="s">
        <v>410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1175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1693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1184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1167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1167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1694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402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913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1167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1171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177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277</v>
      </c>
      <c r="C64" t="s">
        <v>919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1170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277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905</v>
      </c>
      <c r="C104" t="s">
        <v>905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905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905</v>
      </c>
      <c r="B106" s="1" t="s">
        <v>905</v>
      </c>
      <c r="C106" t="s">
        <v>905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905</v>
      </c>
      <c r="C107" t="s">
        <v>905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907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174</v>
      </c>
      <c r="C111" t="s">
        <v>907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173</v>
      </c>
      <c r="C112" t="s">
        <v>907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907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907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907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907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907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907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907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907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907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907</v>
      </c>
      <c r="B122" s="1" t="s">
        <v>907</v>
      </c>
      <c r="C122" t="s">
        <v>907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907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907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201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174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334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370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174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1167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1167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1167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1167</v>
      </c>
      <c r="B174" s="1" t="s">
        <v>1167</v>
      </c>
      <c r="C174" t="s">
        <v>1167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1167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1167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1167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1167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1690</v>
      </c>
      <c r="B182" s="1" t="s">
        <v>1690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1170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192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1171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177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1692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1168</v>
      </c>
      <c r="B195" s="1" t="s">
        <v>1168</v>
      </c>
      <c r="C195" t="s">
        <v>1168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1168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410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410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106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107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107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107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351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133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909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208</v>
      </c>
      <c r="C241" t="s">
        <v>909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Xtal</v>
      </c>
      <c r="J241" s="3"/>
    </row>
    <row r="242" spans="1:10" x14ac:dyDescent="0.2">
      <c r="A242" s="3" t="s">
        <v>329</v>
      </c>
      <c r="B242" s="1" t="s">
        <v>909</v>
      </c>
      <c r="C242" t="s">
        <v>909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909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909</v>
      </c>
      <c r="B244" s="1" t="s">
        <v>909</v>
      </c>
      <c r="C244" t="s">
        <v>909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208</v>
      </c>
      <c r="C245" t="s">
        <v>909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909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208</v>
      </c>
      <c r="C247" t="s">
        <v>909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208</v>
      </c>
      <c r="C248" t="s">
        <v>909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909</v>
      </c>
      <c r="C249" t="s">
        <v>909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909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334</v>
      </c>
      <c r="C251" t="s">
        <v>911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334</v>
      </c>
      <c r="C252" t="s">
        <v>911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911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911</v>
      </c>
      <c r="B255" s="1" t="s">
        <v>911</v>
      </c>
      <c r="C255" t="s">
        <v>911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335</v>
      </c>
      <c r="C256" t="s">
        <v>911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911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1171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355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913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913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334</v>
      </c>
      <c r="C266" t="s">
        <v>913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913</v>
      </c>
      <c r="B267" s="1" t="s">
        <v>913</v>
      </c>
      <c r="C267" t="s">
        <v>913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913</v>
      </c>
      <c r="C268" t="s">
        <v>913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913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343</v>
      </c>
      <c r="C270" t="s">
        <v>913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335</v>
      </c>
      <c r="C271" t="s">
        <v>913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913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343</v>
      </c>
      <c r="C273" t="s">
        <v>913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1169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334</v>
      </c>
      <c r="C275" t="s">
        <v>1169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1169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343</v>
      </c>
      <c r="C277" t="s">
        <v>1169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132</v>
      </c>
      <c r="C278" t="s">
        <v>1169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1169</v>
      </c>
      <c r="B279" s="1" t="s">
        <v>1169</v>
      </c>
      <c r="C279" t="s">
        <v>1169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173</v>
      </c>
      <c r="C280" t="s">
        <v>1169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1169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1169</v>
      </c>
      <c r="C282" t="s">
        <v>1169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343</v>
      </c>
      <c r="C283" t="s">
        <v>1169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915</v>
      </c>
      <c r="B285" s="1" t="s">
        <v>915</v>
      </c>
      <c r="C285" t="s">
        <v>915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915</v>
      </c>
      <c r="C286" t="s">
        <v>915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915</v>
      </c>
      <c r="C292" t="s">
        <v>917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915</v>
      </c>
      <c r="C293" t="s">
        <v>917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917</v>
      </c>
      <c r="B294" s="1" t="s">
        <v>917</v>
      </c>
      <c r="C294" t="s">
        <v>917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196</v>
      </c>
      <c r="C295" t="s">
        <v>1170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1170</v>
      </c>
      <c r="C296" t="s">
        <v>1170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343</v>
      </c>
      <c r="C297" t="s">
        <v>1170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1170</v>
      </c>
      <c r="B298" s="1" t="s">
        <v>1170</v>
      </c>
      <c r="C298" t="s">
        <v>1170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1170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343</v>
      </c>
      <c r="C300" t="s">
        <v>1170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1170</v>
      </c>
      <c r="C301" t="s">
        <v>1170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1170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1170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1170</v>
      </c>
      <c r="C304" t="s">
        <v>1170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1171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1171</v>
      </c>
      <c r="C306" t="s">
        <v>1171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1171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343</v>
      </c>
      <c r="C308" t="s">
        <v>1171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1171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1171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1171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324</v>
      </c>
      <c r="C312" t="s">
        <v>1171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324</v>
      </c>
      <c r="C313" t="s">
        <v>1171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1171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1171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1171</v>
      </c>
      <c r="C316" t="s">
        <v>1171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1170</v>
      </c>
      <c r="C317" t="s">
        <v>1171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1171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1171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1171</v>
      </c>
      <c r="C320" t="s">
        <v>1171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1171</v>
      </c>
      <c r="B321" s="1" t="s">
        <v>1171</v>
      </c>
      <c r="C321" t="s">
        <v>1171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1171</v>
      </c>
      <c r="C322" t="s">
        <v>1171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1171</v>
      </c>
      <c r="C323" t="s">
        <v>1171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1170</v>
      </c>
      <c r="C324" t="s">
        <v>1171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1171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1171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1171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132</v>
      </c>
      <c r="C328" t="s">
        <v>1171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1171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1171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310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1593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1593</v>
      </c>
      <c r="B336" s="1" t="s">
        <v>1593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165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175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158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370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1436</v>
      </c>
      <c r="B348" s="1" t="s">
        <v>1436</v>
      </c>
      <c r="C348" t="s">
        <v>1436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1447</v>
      </c>
      <c r="B349" s="1" t="s">
        <v>1447</v>
      </c>
      <c r="C349" t="s">
        <v>1447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177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344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355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344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335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370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335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174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1167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355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103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104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138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446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1590</v>
      </c>
      <c r="B409" s="1" t="s">
        <v>1590</v>
      </c>
      <c r="C409" s="1" t="s">
        <v>1590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919</v>
      </c>
      <c r="B410" s="1" t="s">
        <v>919</v>
      </c>
      <c r="C410" t="s">
        <v>919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919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1416</v>
      </c>
      <c r="B412" s="1" t="s">
        <v>1416</v>
      </c>
      <c r="C412" t="s">
        <v>1416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1491</v>
      </c>
      <c r="B413" s="1" t="s">
        <v>1491</v>
      </c>
      <c r="C413" s="121" t="s">
        <v>1491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1503</v>
      </c>
      <c r="B414" s="1" t="s">
        <v>1503</v>
      </c>
      <c r="C414" s="121" t="s">
        <v>1503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1633</v>
      </c>
      <c r="B415" s="1" t="s">
        <v>156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1636</v>
      </c>
      <c r="B416" s="1" t="s">
        <v>170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1638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9" priority="5" operator="equal">
      <formula>FALSE</formula>
    </cfRule>
  </conditionalFormatting>
  <conditionalFormatting sqref="G2:G408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88" activePane="bottomLeft" state="frozenSplit"/>
      <selection pane="bottomLeft" activeCell="A402" sqref="A402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927</v>
      </c>
      <c r="C1" s="10" t="s">
        <v>930</v>
      </c>
      <c r="D1" s="10" t="s">
        <v>931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932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932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932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932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932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932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932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932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932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932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932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932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934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934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934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934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934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934</v>
      </c>
    </row>
    <row r="20" spans="1:4" x14ac:dyDescent="0.2">
      <c r="A20" s="3" t="s">
        <v>138</v>
      </c>
      <c r="B20" s="3" t="s">
        <v>1</v>
      </c>
      <c r="C20" s="3" t="s">
        <v>933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933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933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933</v>
      </c>
      <c r="D23" s="3" t="s">
        <v>15</v>
      </c>
    </row>
    <row r="24" spans="1:4" x14ac:dyDescent="0.2">
      <c r="A24" s="3" t="s">
        <v>1693</v>
      </c>
      <c r="B24" s="3" t="s">
        <v>939</v>
      </c>
      <c r="C24" s="3" t="s">
        <v>940</v>
      </c>
      <c r="D24" s="3" t="s">
        <v>941</v>
      </c>
    </row>
    <row r="25" spans="1:4" x14ac:dyDescent="0.2">
      <c r="A25" s="3" t="s">
        <v>413</v>
      </c>
      <c r="B25" s="3" t="s">
        <v>939</v>
      </c>
      <c r="C25" s="3" t="s">
        <v>940</v>
      </c>
      <c r="D25" s="3" t="s">
        <v>941</v>
      </c>
    </row>
    <row r="26" spans="1:4" x14ac:dyDescent="0.2">
      <c r="A26" s="3" t="s">
        <v>414</v>
      </c>
      <c r="B26" s="3" t="s">
        <v>939</v>
      </c>
      <c r="C26" s="3" t="s">
        <v>940</v>
      </c>
      <c r="D26" s="3" t="s">
        <v>941</v>
      </c>
    </row>
    <row r="27" spans="1:4" x14ac:dyDescent="0.2">
      <c r="A27" s="3" t="s">
        <v>1694</v>
      </c>
      <c r="B27" s="3" t="s">
        <v>939</v>
      </c>
      <c r="C27" s="3" t="s">
        <v>940</v>
      </c>
      <c r="D27" s="3" t="s">
        <v>941</v>
      </c>
    </row>
    <row r="28" spans="1:4" x14ac:dyDescent="0.2">
      <c r="A28" s="3" t="s">
        <v>415</v>
      </c>
      <c r="B28" s="3" t="s">
        <v>939</v>
      </c>
      <c r="C28" s="3" t="s">
        <v>940</v>
      </c>
      <c r="D28" s="3" t="s">
        <v>941</v>
      </c>
    </row>
    <row r="29" spans="1:4" x14ac:dyDescent="0.2">
      <c r="A29" s="3" t="s">
        <v>416</v>
      </c>
      <c r="B29" s="3" t="s">
        <v>939</v>
      </c>
      <c r="C29" s="3" t="s">
        <v>940</v>
      </c>
      <c r="D29" s="3" t="s">
        <v>941</v>
      </c>
    </row>
    <row r="30" spans="1:4" x14ac:dyDescent="0.2">
      <c r="A30" s="3" t="s">
        <v>417</v>
      </c>
      <c r="B30" s="3" t="s">
        <v>939</v>
      </c>
      <c r="C30" s="3" t="s">
        <v>940</v>
      </c>
      <c r="D30" s="3" t="s">
        <v>941</v>
      </c>
    </row>
    <row r="31" spans="1:4" x14ac:dyDescent="0.2">
      <c r="A31" s="3" t="s">
        <v>418</v>
      </c>
      <c r="B31" s="3" t="s">
        <v>939</v>
      </c>
      <c r="C31" s="3" t="s">
        <v>940</v>
      </c>
      <c r="D31" s="3" t="s">
        <v>941</v>
      </c>
    </row>
    <row r="32" spans="1:4" x14ac:dyDescent="0.2">
      <c r="A32" s="3" t="s">
        <v>419</v>
      </c>
      <c r="B32" s="3" t="s">
        <v>939</v>
      </c>
      <c r="C32" s="3" t="s">
        <v>940</v>
      </c>
      <c r="D32" s="3" t="s">
        <v>941</v>
      </c>
    </row>
    <row r="33" spans="1:4" x14ac:dyDescent="0.2">
      <c r="A33" s="3" t="s">
        <v>420</v>
      </c>
      <c r="B33" s="3" t="s">
        <v>939</v>
      </c>
      <c r="C33" s="3" t="s">
        <v>940</v>
      </c>
      <c r="D33" s="3" t="s">
        <v>941</v>
      </c>
    </row>
    <row r="34" spans="1:4" x14ac:dyDescent="0.2">
      <c r="A34" s="3" t="s">
        <v>421</v>
      </c>
      <c r="B34" s="3" t="s">
        <v>939</v>
      </c>
      <c r="C34" s="3" t="s">
        <v>940</v>
      </c>
      <c r="D34" s="3" t="s">
        <v>941</v>
      </c>
    </row>
    <row r="35" spans="1:4" x14ac:dyDescent="0.2">
      <c r="A35" s="3" t="s">
        <v>422</v>
      </c>
      <c r="B35" s="3" t="s">
        <v>939</v>
      </c>
      <c r="C35" s="3" t="s">
        <v>940</v>
      </c>
      <c r="D35" s="3" t="s">
        <v>941</v>
      </c>
    </row>
    <row r="36" spans="1:4" x14ac:dyDescent="0.2">
      <c r="A36" s="3" t="s">
        <v>423</v>
      </c>
      <c r="B36" s="3" t="s">
        <v>939</v>
      </c>
      <c r="C36" s="3" t="s">
        <v>940</v>
      </c>
      <c r="D36" s="3" t="s">
        <v>941</v>
      </c>
    </row>
    <row r="37" spans="1:4" x14ac:dyDescent="0.2">
      <c r="A37" s="3" t="s">
        <v>424</v>
      </c>
      <c r="B37" s="3" t="s">
        <v>939</v>
      </c>
      <c r="C37" s="3" t="s">
        <v>940</v>
      </c>
      <c r="D37" s="3" t="s">
        <v>941</v>
      </c>
    </row>
    <row r="38" spans="1:4" x14ac:dyDescent="0.2">
      <c r="A38" s="3" t="s">
        <v>425</v>
      </c>
      <c r="B38" s="3" t="s">
        <v>939</v>
      </c>
      <c r="C38" s="3" t="s">
        <v>940</v>
      </c>
      <c r="D38" s="3" t="s">
        <v>941</v>
      </c>
    </row>
    <row r="39" spans="1:4" x14ac:dyDescent="0.2">
      <c r="A39" s="3" t="s">
        <v>426</v>
      </c>
      <c r="B39" s="3" t="s">
        <v>939</v>
      </c>
      <c r="C39" s="3" t="s">
        <v>940</v>
      </c>
      <c r="D39" s="3" t="s">
        <v>941</v>
      </c>
    </row>
    <row r="40" spans="1:4" x14ac:dyDescent="0.2">
      <c r="A40" s="3" t="s">
        <v>427</v>
      </c>
      <c r="B40" s="3" t="s">
        <v>939</v>
      </c>
      <c r="C40" s="3" t="s">
        <v>940</v>
      </c>
      <c r="D40" s="3" t="s">
        <v>941</v>
      </c>
    </row>
    <row r="41" spans="1:4" x14ac:dyDescent="0.2">
      <c r="A41" s="3" t="s">
        <v>428</v>
      </c>
      <c r="B41" s="3" t="s">
        <v>939</v>
      </c>
      <c r="C41" s="3" t="s">
        <v>940</v>
      </c>
      <c r="D41" s="3" t="s">
        <v>941</v>
      </c>
    </row>
    <row r="42" spans="1:4" x14ac:dyDescent="0.2">
      <c r="A42" s="3" t="s">
        <v>429</v>
      </c>
      <c r="B42" s="3" t="s">
        <v>939</v>
      </c>
      <c r="C42" s="3" t="s">
        <v>940</v>
      </c>
      <c r="D42" s="3" t="s">
        <v>941</v>
      </c>
    </row>
    <row r="43" spans="1:4" x14ac:dyDescent="0.2">
      <c r="A43" s="3" t="s">
        <v>430</v>
      </c>
      <c r="B43" s="3" t="s">
        <v>939</v>
      </c>
      <c r="C43" s="3" t="s">
        <v>940</v>
      </c>
      <c r="D43" s="3" t="s">
        <v>941</v>
      </c>
    </row>
    <row r="44" spans="1:4" x14ac:dyDescent="0.2">
      <c r="A44" s="3" t="s">
        <v>431</v>
      </c>
      <c r="B44" s="3" t="s">
        <v>939</v>
      </c>
      <c r="C44" s="3" t="s">
        <v>940</v>
      </c>
      <c r="D44" s="3" t="s">
        <v>941</v>
      </c>
    </row>
    <row r="45" spans="1:4" x14ac:dyDescent="0.2">
      <c r="A45" s="3" t="s">
        <v>432</v>
      </c>
      <c r="B45" s="3" t="s">
        <v>939</v>
      </c>
      <c r="C45" s="3" t="s">
        <v>940</v>
      </c>
      <c r="D45" s="3" t="s">
        <v>941</v>
      </c>
    </row>
    <row r="46" spans="1:4" x14ac:dyDescent="0.2">
      <c r="A46" s="3" t="s">
        <v>1409</v>
      </c>
      <c r="B46" s="3" t="s">
        <v>939</v>
      </c>
      <c r="C46" s="3" t="s">
        <v>940</v>
      </c>
      <c r="D46" s="3" t="s">
        <v>941</v>
      </c>
    </row>
    <row r="47" spans="1:4" x14ac:dyDescent="0.2">
      <c r="A47" s="3" t="s">
        <v>433</v>
      </c>
      <c r="B47" s="3" t="s">
        <v>939</v>
      </c>
      <c r="C47" s="3" t="s">
        <v>940</v>
      </c>
      <c r="D47" s="3" t="s">
        <v>941</v>
      </c>
    </row>
    <row r="48" spans="1:4" x14ac:dyDescent="0.2">
      <c r="A48" s="3" t="s">
        <v>434</v>
      </c>
      <c r="B48" s="3" t="s">
        <v>939</v>
      </c>
      <c r="C48" s="3" t="s">
        <v>940</v>
      </c>
      <c r="D48" s="3" t="s">
        <v>941</v>
      </c>
    </row>
    <row r="49" spans="1:4" x14ac:dyDescent="0.2">
      <c r="A49" s="3" t="s">
        <v>435</v>
      </c>
      <c r="B49" s="3" t="s">
        <v>939</v>
      </c>
      <c r="C49" s="3" t="s">
        <v>940</v>
      </c>
      <c r="D49" s="3" t="s">
        <v>941</v>
      </c>
    </row>
    <row r="50" spans="1:4" x14ac:dyDescent="0.2">
      <c r="A50" s="3" t="s">
        <v>436</v>
      </c>
      <c r="B50" s="3" t="s">
        <v>939</v>
      </c>
      <c r="C50" s="3" t="s">
        <v>940</v>
      </c>
      <c r="D50" s="3" t="s">
        <v>941</v>
      </c>
    </row>
    <row r="51" spans="1:4" x14ac:dyDescent="0.2">
      <c r="A51" s="3" t="s">
        <v>437</v>
      </c>
      <c r="B51" s="3" t="s">
        <v>939</v>
      </c>
      <c r="C51" s="3" t="s">
        <v>940</v>
      </c>
      <c r="D51" s="3" t="s">
        <v>941</v>
      </c>
    </row>
    <row r="52" spans="1:4" x14ac:dyDescent="0.2">
      <c r="A52" s="3" t="s">
        <v>438</v>
      </c>
      <c r="B52" s="3" t="s">
        <v>939</v>
      </c>
      <c r="C52" s="3" t="s">
        <v>940</v>
      </c>
      <c r="D52" s="3" t="s">
        <v>941</v>
      </c>
    </row>
    <row r="53" spans="1:4" x14ac:dyDescent="0.2">
      <c r="A53" s="3" t="s">
        <v>1695</v>
      </c>
      <c r="B53" s="3" t="s">
        <v>939</v>
      </c>
      <c r="C53" s="3" t="s">
        <v>940</v>
      </c>
      <c r="D53" s="3" t="s">
        <v>941</v>
      </c>
    </row>
    <row r="54" spans="1:4" x14ac:dyDescent="0.2">
      <c r="A54" s="3" t="s">
        <v>439</v>
      </c>
      <c r="B54" s="3" t="s">
        <v>939</v>
      </c>
      <c r="C54" s="3" t="s">
        <v>940</v>
      </c>
      <c r="D54" s="3" t="s">
        <v>941</v>
      </c>
    </row>
    <row r="55" spans="1:4" x14ac:dyDescent="0.2">
      <c r="A55" s="3" t="s">
        <v>440</v>
      </c>
      <c r="B55" s="3" t="s">
        <v>939</v>
      </c>
      <c r="C55" s="3" t="s">
        <v>940</v>
      </c>
      <c r="D55" s="3" t="s">
        <v>941</v>
      </c>
    </row>
    <row r="56" spans="1:4" x14ac:dyDescent="0.2">
      <c r="A56" s="3" t="s">
        <v>441</v>
      </c>
      <c r="B56" s="3" t="s">
        <v>939</v>
      </c>
      <c r="C56" s="3" t="s">
        <v>940</v>
      </c>
      <c r="D56" s="3" t="s">
        <v>941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936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936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936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936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936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936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936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936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936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936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937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937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938</v>
      </c>
    </row>
    <row r="70" spans="1:4" x14ac:dyDescent="0.2">
      <c r="A70" s="3" t="s">
        <v>234</v>
      </c>
      <c r="B70" s="3" t="s">
        <v>1</v>
      </c>
      <c r="C70" s="3" t="s">
        <v>970</v>
      </c>
      <c r="D70" s="3" t="s">
        <v>971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943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943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943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942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942</v>
      </c>
    </row>
    <row r="76" spans="1:4" x14ac:dyDescent="0.2">
      <c r="A76" s="3" t="s">
        <v>400</v>
      </c>
      <c r="B76" s="3" t="s">
        <v>945</v>
      </c>
      <c r="C76" s="3" t="s">
        <v>17</v>
      </c>
      <c r="D76" s="3" t="s">
        <v>946</v>
      </c>
    </row>
    <row r="77" spans="1:4" x14ac:dyDescent="0.2">
      <c r="A77" s="3" t="s">
        <v>401</v>
      </c>
      <c r="B77" s="3" t="s">
        <v>945</v>
      </c>
      <c r="C77" s="3" t="s">
        <v>17</v>
      </c>
      <c r="D77" s="3" t="s">
        <v>946</v>
      </c>
    </row>
    <row r="78" spans="1:4" x14ac:dyDescent="0.2">
      <c r="A78" s="3" t="s">
        <v>105</v>
      </c>
      <c r="B78" s="3" t="s">
        <v>27</v>
      </c>
      <c r="C78" s="3" t="s">
        <v>947</v>
      </c>
      <c r="D78" s="3" t="s">
        <v>948</v>
      </c>
    </row>
    <row r="79" spans="1:4" x14ac:dyDescent="0.2">
      <c r="A79" s="3" t="s">
        <v>114</v>
      </c>
      <c r="B79" s="3" t="s">
        <v>27</v>
      </c>
      <c r="C79" s="3" t="s">
        <v>947</v>
      </c>
      <c r="D79" s="3" t="s">
        <v>948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952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952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951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928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928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928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928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928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928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928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928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928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928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928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928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928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928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928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928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928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928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928</v>
      </c>
    </row>
    <row r="102" spans="1:4" x14ac:dyDescent="0.2">
      <c r="A102" s="3" t="s">
        <v>1026</v>
      </c>
      <c r="B102" s="3" t="s">
        <v>1</v>
      </c>
      <c r="C102" s="3" t="s">
        <v>29</v>
      </c>
      <c r="D102" s="3" t="s">
        <v>928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928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928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928</v>
      </c>
    </row>
    <row r="106" spans="1:4" x14ac:dyDescent="0.2">
      <c r="A106" s="3" t="s">
        <v>1503</v>
      </c>
      <c r="B106" s="3" t="s">
        <v>1</v>
      </c>
      <c r="C106" s="3" t="s">
        <v>17</v>
      </c>
      <c r="D106" s="3" t="s">
        <v>928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928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949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949</v>
      </c>
    </row>
    <row r="110" spans="1:4" x14ac:dyDescent="0.2">
      <c r="A110" s="3" t="s">
        <v>1692</v>
      </c>
      <c r="B110" s="3" t="s">
        <v>1</v>
      </c>
      <c r="C110" s="3" t="s">
        <v>940</v>
      </c>
      <c r="D110" s="3" t="s">
        <v>956</v>
      </c>
    </row>
    <row r="111" spans="1:4" x14ac:dyDescent="0.2">
      <c r="A111" s="3" t="s">
        <v>211</v>
      </c>
      <c r="B111" s="3" t="s">
        <v>1</v>
      </c>
      <c r="C111" s="3" t="s">
        <v>940</v>
      </c>
      <c r="D111" s="3" t="s">
        <v>956</v>
      </c>
    </row>
    <row r="112" spans="1:4" x14ac:dyDescent="0.2">
      <c r="A112" s="3" t="s">
        <v>213</v>
      </c>
      <c r="B112" s="3" t="s">
        <v>1</v>
      </c>
      <c r="C112" s="3" t="s">
        <v>940</v>
      </c>
      <c r="D112" s="3" t="s">
        <v>956</v>
      </c>
    </row>
    <row r="113" spans="1:4" x14ac:dyDescent="0.2">
      <c r="A113" s="3" t="s">
        <v>214</v>
      </c>
      <c r="B113" s="3" t="s">
        <v>1</v>
      </c>
      <c r="C113" s="3" t="s">
        <v>940</v>
      </c>
      <c r="D113" s="3" t="s">
        <v>956</v>
      </c>
    </row>
    <row r="114" spans="1:4" x14ac:dyDescent="0.2">
      <c r="A114" s="3" t="s">
        <v>215</v>
      </c>
      <c r="B114" s="3" t="s">
        <v>1</v>
      </c>
      <c r="C114" s="3" t="s">
        <v>940</v>
      </c>
      <c r="D114" s="3" t="s">
        <v>956</v>
      </c>
    </row>
    <row r="115" spans="1:4" x14ac:dyDescent="0.2">
      <c r="A115" s="3" t="s">
        <v>216</v>
      </c>
      <c r="B115" s="3" t="s">
        <v>1</v>
      </c>
      <c r="C115" s="3" t="s">
        <v>940</v>
      </c>
      <c r="D115" s="3" t="s">
        <v>956</v>
      </c>
    </row>
    <row r="116" spans="1:4" x14ac:dyDescent="0.2">
      <c r="A116" s="3" t="s">
        <v>217</v>
      </c>
      <c r="B116" s="3" t="s">
        <v>1</v>
      </c>
      <c r="C116" s="3" t="s">
        <v>940</v>
      </c>
      <c r="D116" s="3" t="s">
        <v>956</v>
      </c>
    </row>
    <row r="117" spans="1:4" x14ac:dyDescent="0.2">
      <c r="A117" s="3" t="s">
        <v>218</v>
      </c>
      <c r="B117" s="3" t="s">
        <v>1</v>
      </c>
      <c r="C117" s="3" t="s">
        <v>940</v>
      </c>
      <c r="D117" s="3" t="s">
        <v>956</v>
      </c>
    </row>
    <row r="118" spans="1:4" x14ac:dyDescent="0.2">
      <c r="A118" s="3" t="s">
        <v>219</v>
      </c>
      <c r="B118" s="3" t="s">
        <v>1</v>
      </c>
      <c r="C118" s="3" t="s">
        <v>940</v>
      </c>
      <c r="D118" s="3" t="s">
        <v>956</v>
      </c>
    </row>
    <row r="119" spans="1:4" x14ac:dyDescent="0.2">
      <c r="A119" s="3" t="s">
        <v>220</v>
      </c>
      <c r="B119" s="3" t="s">
        <v>1</v>
      </c>
      <c r="C119" s="3" t="s">
        <v>940</v>
      </c>
      <c r="D119" s="3" t="s">
        <v>956</v>
      </c>
    </row>
    <row r="120" spans="1:4" x14ac:dyDescent="0.2">
      <c r="A120" s="3" t="s">
        <v>221</v>
      </c>
      <c r="B120" s="3" t="s">
        <v>1</v>
      </c>
      <c r="C120" s="3" t="s">
        <v>940</v>
      </c>
      <c r="D120" s="3" t="s">
        <v>956</v>
      </c>
    </row>
    <row r="121" spans="1:4" x14ac:dyDescent="0.2">
      <c r="A121" s="3" t="s">
        <v>222</v>
      </c>
      <c r="B121" s="3" t="s">
        <v>1</v>
      </c>
      <c r="C121" s="3" t="s">
        <v>940</v>
      </c>
      <c r="D121" s="3" t="s">
        <v>956</v>
      </c>
    </row>
    <row r="122" spans="1:4" x14ac:dyDescent="0.2">
      <c r="A122" s="3" t="s">
        <v>223</v>
      </c>
      <c r="B122" s="3" t="s">
        <v>1</v>
      </c>
      <c r="C122" s="3" t="s">
        <v>940</v>
      </c>
      <c r="D122" s="3" t="s">
        <v>956</v>
      </c>
    </row>
    <row r="123" spans="1:4" x14ac:dyDescent="0.2">
      <c r="A123" s="3" t="s">
        <v>224</v>
      </c>
      <c r="B123" s="3" t="s">
        <v>1</v>
      </c>
      <c r="C123" s="3" t="s">
        <v>940</v>
      </c>
      <c r="D123" s="3" t="s">
        <v>956</v>
      </c>
    </row>
    <row r="124" spans="1:4" x14ac:dyDescent="0.2">
      <c r="A124" s="3" t="s">
        <v>225</v>
      </c>
      <c r="B124" s="3" t="s">
        <v>1</v>
      </c>
      <c r="C124" s="3" t="s">
        <v>940</v>
      </c>
      <c r="D124" s="3" t="s">
        <v>956</v>
      </c>
    </row>
    <row r="125" spans="1:4" x14ac:dyDescent="0.2">
      <c r="A125" s="3" t="s">
        <v>226</v>
      </c>
      <c r="B125" s="3" t="s">
        <v>1</v>
      </c>
      <c r="C125" s="3" t="s">
        <v>940</v>
      </c>
      <c r="D125" s="3" t="s">
        <v>956</v>
      </c>
    </row>
    <row r="126" spans="1:4" x14ac:dyDescent="0.2">
      <c r="A126" s="3" t="s">
        <v>227</v>
      </c>
      <c r="B126" s="3" t="s">
        <v>1</v>
      </c>
      <c r="C126" s="3" t="s">
        <v>940</v>
      </c>
      <c r="D126" s="3" t="s">
        <v>956</v>
      </c>
    </row>
    <row r="127" spans="1:4" x14ac:dyDescent="0.2">
      <c r="A127" s="3" t="s">
        <v>228</v>
      </c>
      <c r="B127" s="3" t="s">
        <v>1</v>
      </c>
      <c r="C127" s="3" t="s">
        <v>940</v>
      </c>
      <c r="D127" s="3" t="s">
        <v>956</v>
      </c>
    </row>
    <row r="128" spans="1:4" x14ac:dyDescent="0.2">
      <c r="A128" s="3" t="s">
        <v>229</v>
      </c>
      <c r="B128" s="3" t="s">
        <v>1</v>
      </c>
      <c r="C128" s="3" t="s">
        <v>940</v>
      </c>
      <c r="D128" s="3" t="s">
        <v>956</v>
      </c>
    </row>
    <row r="129" spans="1:4" x14ac:dyDescent="0.2">
      <c r="A129" s="3" t="s">
        <v>230</v>
      </c>
      <c r="B129" s="3" t="s">
        <v>1</v>
      </c>
      <c r="C129" s="3" t="s">
        <v>940</v>
      </c>
      <c r="D129" s="3" t="s">
        <v>956</v>
      </c>
    </row>
    <row r="130" spans="1:4" x14ac:dyDescent="0.2">
      <c r="A130" s="3" t="s">
        <v>231</v>
      </c>
      <c r="B130" s="3" t="s">
        <v>1</v>
      </c>
      <c r="C130" s="3" t="s">
        <v>940</v>
      </c>
      <c r="D130" s="3" t="s">
        <v>956</v>
      </c>
    </row>
    <row r="131" spans="1:4" x14ac:dyDescent="0.2">
      <c r="A131" s="3" t="s">
        <v>232</v>
      </c>
      <c r="B131" s="3" t="s">
        <v>1</v>
      </c>
      <c r="C131" s="3" t="s">
        <v>940</v>
      </c>
      <c r="D131" s="3" t="s">
        <v>956</v>
      </c>
    </row>
    <row r="132" spans="1:4" x14ac:dyDescent="0.2">
      <c r="A132" s="3" t="s">
        <v>233</v>
      </c>
      <c r="B132" s="3" t="s">
        <v>1</v>
      </c>
      <c r="C132" s="3" t="s">
        <v>940</v>
      </c>
      <c r="D132" s="3" t="s">
        <v>956</v>
      </c>
    </row>
    <row r="133" spans="1:4" x14ac:dyDescent="0.2">
      <c r="A133" s="3" t="s">
        <v>236</v>
      </c>
      <c r="B133" s="3" t="s">
        <v>1</v>
      </c>
      <c r="C133" s="3" t="s">
        <v>940</v>
      </c>
      <c r="D133" s="3" t="s">
        <v>956</v>
      </c>
    </row>
    <row r="134" spans="1:4" x14ac:dyDescent="0.2">
      <c r="A134" s="3" t="s">
        <v>237</v>
      </c>
      <c r="B134" s="3" t="s">
        <v>1</v>
      </c>
      <c r="C134" s="3" t="s">
        <v>940</v>
      </c>
      <c r="D134" s="3" t="s">
        <v>956</v>
      </c>
    </row>
    <row r="135" spans="1:4" x14ac:dyDescent="0.2">
      <c r="A135" s="3" t="s">
        <v>238</v>
      </c>
      <c r="B135" s="3" t="s">
        <v>1</v>
      </c>
      <c r="C135" s="3" t="s">
        <v>940</v>
      </c>
      <c r="D135" s="3" t="s">
        <v>956</v>
      </c>
    </row>
    <row r="136" spans="1:4" x14ac:dyDescent="0.2">
      <c r="A136" s="3" t="s">
        <v>239</v>
      </c>
      <c r="B136" s="3" t="s">
        <v>1</v>
      </c>
      <c r="C136" s="3" t="s">
        <v>940</v>
      </c>
      <c r="D136" s="3" t="s">
        <v>956</v>
      </c>
    </row>
    <row r="137" spans="1:4" x14ac:dyDescent="0.2">
      <c r="A137" s="3" t="s">
        <v>241</v>
      </c>
      <c r="B137" s="3" t="s">
        <v>1</v>
      </c>
      <c r="C137" s="3" t="s">
        <v>940</v>
      </c>
      <c r="D137" s="3" t="s">
        <v>956</v>
      </c>
    </row>
    <row r="138" spans="1:4" x14ac:dyDescent="0.2">
      <c r="A138" s="3" t="s">
        <v>242</v>
      </c>
      <c r="B138" s="3" t="s">
        <v>1</v>
      </c>
      <c r="C138" s="3" t="s">
        <v>940</v>
      </c>
      <c r="D138" s="3" t="s">
        <v>956</v>
      </c>
    </row>
    <row r="139" spans="1:4" x14ac:dyDescent="0.2">
      <c r="A139" s="3" t="s">
        <v>243</v>
      </c>
      <c r="B139" s="3" t="s">
        <v>1</v>
      </c>
      <c r="C139" s="3" t="s">
        <v>940</v>
      </c>
      <c r="D139" s="3" t="s">
        <v>956</v>
      </c>
    </row>
    <row r="140" spans="1:4" x14ac:dyDescent="0.2">
      <c r="A140" s="3" t="s">
        <v>244</v>
      </c>
      <c r="B140" s="3" t="s">
        <v>1</v>
      </c>
      <c r="C140" s="3" t="s">
        <v>940</v>
      </c>
      <c r="D140" s="3" t="s">
        <v>956</v>
      </c>
    </row>
    <row r="141" spans="1:4" x14ac:dyDescent="0.2">
      <c r="A141" s="3" t="s">
        <v>245</v>
      </c>
      <c r="B141" s="3" t="s">
        <v>1</v>
      </c>
      <c r="C141" s="3" t="s">
        <v>940</v>
      </c>
      <c r="D141" s="3" t="s">
        <v>956</v>
      </c>
    </row>
    <row r="142" spans="1:4" x14ac:dyDescent="0.2">
      <c r="A142" s="3" t="s">
        <v>246</v>
      </c>
      <c r="B142" s="3" t="s">
        <v>1</v>
      </c>
      <c r="C142" s="3" t="s">
        <v>940</v>
      </c>
      <c r="D142" s="3" t="s">
        <v>956</v>
      </c>
    </row>
    <row r="143" spans="1:4" x14ac:dyDescent="0.2">
      <c r="A143" s="3" t="s">
        <v>247</v>
      </c>
      <c r="B143" s="3" t="s">
        <v>1</v>
      </c>
      <c r="C143" s="3" t="s">
        <v>940</v>
      </c>
      <c r="D143" s="3" t="s">
        <v>956</v>
      </c>
    </row>
    <row r="144" spans="1:4" x14ac:dyDescent="0.2">
      <c r="A144" s="3" t="s">
        <v>248</v>
      </c>
      <c r="B144" s="3" t="s">
        <v>1</v>
      </c>
      <c r="C144" s="3" t="s">
        <v>940</v>
      </c>
      <c r="D144" s="3" t="s">
        <v>956</v>
      </c>
    </row>
    <row r="145" spans="1:4" x14ac:dyDescent="0.2">
      <c r="A145" s="3" t="s">
        <v>249</v>
      </c>
      <c r="B145" s="3" t="s">
        <v>1</v>
      </c>
      <c r="C145" s="3" t="s">
        <v>940</v>
      </c>
      <c r="D145" s="3" t="s">
        <v>956</v>
      </c>
    </row>
    <row r="146" spans="1:4" x14ac:dyDescent="0.2">
      <c r="A146" s="3" t="s">
        <v>250</v>
      </c>
      <c r="B146" s="3" t="s">
        <v>1</v>
      </c>
      <c r="C146" s="3" t="s">
        <v>940</v>
      </c>
      <c r="D146" s="3" t="s">
        <v>956</v>
      </c>
    </row>
    <row r="147" spans="1:4" x14ac:dyDescent="0.2">
      <c r="A147" s="3" t="s">
        <v>251</v>
      </c>
      <c r="B147" s="3" t="s">
        <v>1</v>
      </c>
      <c r="C147" s="3" t="s">
        <v>940</v>
      </c>
      <c r="D147" s="3" t="s">
        <v>956</v>
      </c>
    </row>
    <row r="148" spans="1:4" x14ac:dyDescent="0.2">
      <c r="A148" s="3" t="s">
        <v>252</v>
      </c>
      <c r="B148" s="3" t="s">
        <v>1</v>
      </c>
      <c r="C148" s="3" t="s">
        <v>940</v>
      </c>
      <c r="D148" s="3" t="s">
        <v>956</v>
      </c>
    </row>
    <row r="149" spans="1:4" x14ac:dyDescent="0.2">
      <c r="A149" s="3" t="s">
        <v>253</v>
      </c>
      <c r="B149" s="3" t="s">
        <v>1</v>
      </c>
      <c r="C149" s="3" t="s">
        <v>940</v>
      </c>
      <c r="D149" s="3" t="s">
        <v>956</v>
      </c>
    </row>
    <row r="150" spans="1:4" x14ac:dyDescent="0.2">
      <c r="A150" s="3" t="s">
        <v>254</v>
      </c>
      <c r="B150" s="3" t="s">
        <v>1</v>
      </c>
      <c r="C150" s="3" t="s">
        <v>940</v>
      </c>
      <c r="D150" s="3" t="s">
        <v>956</v>
      </c>
    </row>
    <row r="151" spans="1:4" x14ac:dyDescent="0.2">
      <c r="A151" s="3" t="s">
        <v>255</v>
      </c>
      <c r="B151" s="3" t="s">
        <v>1</v>
      </c>
      <c r="C151" s="3" t="s">
        <v>940</v>
      </c>
      <c r="D151" s="3" t="s">
        <v>956</v>
      </c>
    </row>
    <row r="152" spans="1:4" x14ac:dyDescent="0.2">
      <c r="A152" s="3" t="s">
        <v>256</v>
      </c>
      <c r="B152" s="3" t="s">
        <v>1</v>
      </c>
      <c r="C152" s="3" t="s">
        <v>940</v>
      </c>
      <c r="D152" s="3" t="s">
        <v>956</v>
      </c>
    </row>
    <row r="153" spans="1:4" x14ac:dyDescent="0.2">
      <c r="A153" s="3" t="s">
        <v>258</v>
      </c>
      <c r="B153" s="3" t="s">
        <v>1</v>
      </c>
      <c r="C153" s="3" t="s">
        <v>940</v>
      </c>
      <c r="D153" s="3" t="s">
        <v>956</v>
      </c>
    </row>
    <row r="154" spans="1:4" x14ac:dyDescent="0.2">
      <c r="A154" s="3" t="s">
        <v>259</v>
      </c>
      <c r="B154" s="3" t="s">
        <v>1</v>
      </c>
      <c r="C154" s="3" t="s">
        <v>940</v>
      </c>
      <c r="D154" s="3" t="s">
        <v>956</v>
      </c>
    </row>
    <row r="155" spans="1:4" x14ac:dyDescent="0.2">
      <c r="A155" s="3" t="s">
        <v>261</v>
      </c>
      <c r="B155" s="3" t="s">
        <v>1</v>
      </c>
      <c r="C155" s="3" t="s">
        <v>940</v>
      </c>
      <c r="D155" s="3" t="s">
        <v>956</v>
      </c>
    </row>
    <row r="156" spans="1:4" x14ac:dyDescent="0.2">
      <c r="A156" s="3" t="s">
        <v>262</v>
      </c>
      <c r="B156" s="3" t="s">
        <v>1</v>
      </c>
      <c r="C156" s="3" t="s">
        <v>940</v>
      </c>
      <c r="D156" s="3" t="s">
        <v>956</v>
      </c>
    </row>
    <row r="157" spans="1:4" x14ac:dyDescent="0.2">
      <c r="A157" s="3" t="s">
        <v>263</v>
      </c>
      <c r="B157" s="3" t="s">
        <v>1</v>
      </c>
      <c r="C157" s="3" t="s">
        <v>940</v>
      </c>
      <c r="D157" s="3" t="s">
        <v>956</v>
      </c>
    </row>
    <row r="158" spans="1:4" x14ac:dyDescent="0.2">
      <c r="A158" s="3" t="s">
        <v>264</v>
      </c>
      <c r="B158" s="3" t="s">
        <v>1</v>
      </c>
      <c r="C158" s="3" t="s">
        <v>940</v>
      </c>
      <c r="D158" s="3" t="s">
        <v>956</v>
      </c>
    </row>
    <row r="159" spans="1:4" x14ac:dyDescent="0.2">
      <c r="A159" s="3" t="s">
        <v>265</v>
      </c>
      <c r="B159" s="3" t="s">
        <v>1</v>
      </c>
      <c r="C159" s="3" t="s">
        <v>940</v>
      </c>
      <c r="D159" s="3" t="s">
        <v>956</v>
      </c>
    </row>
    <row r="160" spans="1:4" x14ac:dyDescent="0.2">
      <c r="A160" s="3" t="s">
        <v>266</v>
      </c>
      <c r="B160" s="3" t="s">
        <v>1</v>
      </c>
      <c r="C160" s="3" t="s">
        <v>940</v>
      </c>
      <c r="D160" s="3" t="s">
        <v>956</v>
      </c>
    </row>
    <row r="161" spans="1:4" x14ac:dyDescent="0.2">
      <c r="A161" s="3" t="s">
        <v>267</v>
      </c>
      <c r="B161" s="3" t="s">
        <v>1</v>
      </c>
      <c r="C161" s="3" t="s">
        <v>940</v>
      </c>
      <c r="D161" s="3" t="s">
        <v>956</v>
      </c>
    </row>
    <row r="162" spans="1:4" x14ac:dyDescent="0.2">
      <c r="A162" s="3" t="s">
        <v>268</v>
      </c>
      <c r="B162" s="3" t="s">
        <v>1</v>
      </c>
      <c r="C162" s="3" t="s">
        <v>940</v>
      </c>
      <c r="D162" s="3" t="s">
        <v>956</v>
      </c>
    </row>
    <row r="163" spans="1:4" x14ac:dyDescent="0.2">
      <c r="A163" s="3" t="s">
        <v>269</v>
      </c>
      <c r="B163" s="3" t="s">
        <v>1</v>
      </c>
      <c r="C163" s="3" t="s">
        <v>940</v>
      </c>
      <c r="D163" s="3" t="s">
        <v>956</v>
      </c>
    </row>
    <row r="164" spans="1:4" x14ac:dyDescent="0.2">
      <c r="A164" s="3" t="s">
        <v>270</v>
      </c>
      <c r="B164" s="3" t="s">
        <v>1</v>
      </c>
      <c r="C164" s="3" t="s">
        <v>940</v>
      </c>
      <c r="D164" s="3" t="s">
        <v>956</v>
      </c>
    </row>
    <row r="165" spans="1:4" x14ac:dyDescent="0.2">
      <c r="A165" s="3" t="s">
        <v>271</v>
      </c>
      <c r="B165" s="3" t="s">
        <v>1</v>
      </c>
      <c r="C165" s="3" t="s">
        <v>940</v>
      </c>
      <c r="D165" s="3" t="s">
        <v>956</v>
      </c>
    </row>
    <row r="166" spans="1:4" x14ac:dyDescent="0.2">
      <c r="A166" s="3" t="s">
        <v>272</v>
      </c>
      <c r="B166" s="3" t="s">
        <v>1</v>
      </c>
      <c r="C166" s="3" t="s">
        <v>940</v>
      </c>
      <c r="D166" s="3" t="s">
        <v>956</v>
      </c>
    </row>
    <row r="167" spans="1:4" x14ac:dyDescent="0.2">
      <c r="A167" s="3" t="s">
        <v>282</v>
      </c>
      <c r="B167" s="3" t="s">
        <v>1</v>
      </c>
      <c r="C167" s="3" t="s">
        <v>940</v>
      </c>
      <c r="D167" s="3" t="s">
        <v>956</v>
      </c>
    </row>
    <row r="168" spans="1:4" x14ac:dyDescent="0.2">
      <c r="A168" s="3" t="s">
        <v>283</v>
      </c>
      <c r="B168" s="3" t="s">
        <v>1</v>
      </c>
      <c r="C168" s="3" t="s">
        <v>940</v>
      </c>
      <c r="D168" s="3" t="s">
        <v>956</v>
      </c>
    </row>
    <row r="169" spans="1:4" x14ac:dyDescent="0.2">
      <c r="A169" s="3" t="s">
        <v>284</v>
      </c>
      <c r="B169" s="3" t="s">
        <v>1</v>
      </c>
      <c r="C169" s="3" t="s">
        <v>940</v>
      </c>
      <c r="D169" s="3" t="s">
        <v>956</v>
      </c>
    </row>
    <row r="170" spans="1:4" x14ac:dyDescent="0.2">
      <c r="A170" s="3" t="s">
        <v>293</v>
      </c>
      <c r="B170" s="3" t="s">
        <v>1</v>
      </c>
      <c r="C170" s="3" t="s">
        <v>940</v>
      </c>
      <c r="D170" s="3" t="s">
        <v>956</v>
      </c>
    </row>
    <row r="171" spans="1:4" x14ac:dyDescent="0.2">
      <c r="A171" s="3" t="s">
        <v>294</v>
      </c>
      <c r="B171" s="3" t="s">
        <v>1</v>
      </c>
      <c r="C171" s="3" t="s">
        <v>940</v>
      </c>
      <c r="D171" s="3" t="s">
        <v>956</v>
      </c>
    </row>
    <row r="172" spans="1:4" x14ac:dyDescent="0.2">
      <c r="A172" s="3" t="s">
        <v>300</v>
      </c>
      <c r="B172" s="3" t="s">
        <v>1</v>
      </c>
      <c r="C172" s="3" t="s">
        <v>940</v>
      </c>
      <c r="D172" s="3" t="s">
        <v>956</v>
      </c>
    </row>
    <row r="173" spans="1:4" x14ac:dyDescent="0.2">
      <c r="A173" s="3" t="s">
        <v>301</v>
      </c>
      <c r="B173" s="3" t="s">
        <v>1</v>
      </c>
      <c r="C173" s="3" t="s">
        <v>940</v>
      </c>
      <c r="D173" s="3" t="s">
        <v>956</v>
      </c>
    </row>
    <row r="174" spans="1:4" x14ac:dyDescent="0.2">
      <c r="A174" s="3" t="s">
        <v>302</v>
      </c>
      <c r="B174" s="3" t="s">
        <v>1</v>
      </c>
      <c r="C174" s="3" t="s">
        <v>940</v>
      </c>
      <c r="D174" s="3" t="s">
        <v>956</v>
      </c>
    </row>
    <row r="175" spans="1:4" x14ac:dyDescent="0.2">
      <c r="A175" s="3" t="s">
        <v>303</v>
      </c>
      <c r="B175" s="3" t="s">
        <v>1</v>
      </c>
      <c r="C175" s="3" t="s">
        <v>940</v>
      </c>
      <c r="D175" s="3" t="s">
        <v>956</v>
      </c>
    </row>
    <row r="176" spans="1:4" x14ac:dyDescent="0.2">
      <c r="A176" s="3" t="s">
        <v>304</v>
      </c>
      <c r="B176" s="3" t="s">
        <v>1</v>
      </c>
      <c r="C176" s="3" t="s">
        <v>940</v>
      </c>
      <c r="D176" s="3" t="s">
        <v>956</v>
      </c>
    </row>
    <row r="177" spans="1:4" x14ac:dyDescent="0.2">
      <c r="A177" s="3" t="s">
        <v>305</v>
      </c>
      <c r="B177" s="3" t="s">
        <v>1</v>
      </c>
      <c r="C177" s="3" t="s">
        <v>940</v>
      </c>
      <c r="D177" s="3" t="s">
        <v>956</v>
      </c>
    </row>
    <row r="178" spans="1:4" x14ac:dyDescent="0.2">
      <c r="A178" s="3" t="s">
        <v>306</v>
      </c>
      <c r="B178" s="3" t="s">
        <v>1</v>
      </c>
      <c r="C178" s="3" t="s">
        <v>940</v>
      </c>
      <c r="D178" s="3" t="s">
        <v>956</v>
      </c>
    </row>
    <row r="179" spans="1:4" x14ac:dyDescent="0.2">
      <c r="A179" s="3" t="s">
        <v>307</v>
      </c>
      <c r="B179" s="3" t="s">
        <v>1</v>
      </c>
      <c r="C179" s="3" t="s">
        <v>940</v>
      </c>
      <c r="D179" s="3" t="s">
        <v>956</v>
      </c>
    </row>
    <row r="180" spans="1:4" x14ac:dyDescent="0.2">
      <c r="A180" s="3" t="s">
        <v>312</v>
      </c>
      <c r="B180" s="3" t="s">
        <v>1</v>
      </c>
      <c r="C180" s="3" t="s">
        <v>940</v>
      </c>
      <c r="D180" s="3" t="s">
        <v>956</v>
      </c>
    </row>
    <row r="181" spans="1:4" x14ac:dyDescent="0.2">
      <c r="A181" s="3" t="s">
        <v>330</v>
      </c>
      <c r="B181" s="3" t="s">
        <v>1</v>
      </c>
      <c r="C181" s="3" t="s">
        <v>940</v>
      </c>
      <c r="D181" s="3" t="s">
        <v>956</v>
      </c>
    </row>
    <row r="182" spans="1:4" x14ac:dyDescent="0.2">
      <c r="A182" s="3" t="s">
        <v>348</v>
      </c>
      <c r="B182" s="3" t="s">
        <v>1</v>
      </c>
      <c r="C182" s="3" t="s">
        <v>940</v>
      </c>
      <c r="D182" s="3" t="s">
        <v>956</v>
      </c>
    </row>
    <row r="183" spans="1:4" x14ac:dyDescent="0.2">
      <c r="A183" s="3" t="s">
        <v>349</v>
      </c>
      <c r="B183" s="3" t="s">
        <v>1</v>
      </c>
      <c r="C183" s="3" t="s">
        <v>940</v>
      </c>
      <c r="D183" s="3" t="s">
        <v>956</v>
      </c>
    </row>
    <row r="184" spans="1:4" x14ac:dyDescent="0.2">
      <c r="A184" s="3" t="s">
        <v>369</v>
      </c>
      <c r="B184" s="3" t="s">
        <v>1</v>
      </c>
      <c r="C184" s="3" t="s">
        <v>940</v>
      </c>
      <c r="D184" s="3" t="s">
        <v>956</v>
      </c>
    </row>
    <row r="185" spans="1:4" x14ac:dyDescent="0.2">
      <c r="A185" s="3" t="s">
        <v>387</v>
      </c>
      <c r="B185" s="3" t="s">
        <v>1</v>
      </c>
      <c r="C185" s="3" t="s">
        <v>940</v>
      </c>
      <c r="D185" s="3" t="s">
        <v>956</v>
      </c>
    </row>
    <row r="186" spans="1:4" x14ac:dyDescent="0.2">
      <c r="A186" s="3" t="s">
        <v>388</v>
      </c>
      <c r="B186" s="3" t="s">
        <v>1</v>
      </c>
      <c r="C186" s="3" t="s">
        <v>940</v>
      </c>
      <c r="D186" s="3" t="s">
        <v>956</v>
      </c>
    </row>
    <row r="187" spans="1:4" x14ac:dyDescent="0.2">
      <c r="A187" s="3" t="s">
        <v>389</v>
      </c>
      <c r="B187" s="3" t="s">
        <v>1</v>
      </c>
      <c r="C187" s="3" t="s">
        <v>940</v>
      </c>
      <c r="D187" s="3" t="s">
        <v>956</v>
      </c>
    </row>
    <row r="188" spans="1:4" x14ac:dyDescent="0.2">
      <c r="A188" s="3" t="s">
        <v>390</v>
      </c>
      <c r="B188" s="3" t="s">
        <v>1</v>
      </c>
      <c r="C188" s="3" t="s">
        <v>940</v>
      </c>
      <c r="D188" s="3" t="s">
        <v>956</v>
      </c>
    </row>
    <row r="189" spans="1:4" x14ac:dyDescent="0.2">
      <c r="A189" s="3" t="s">
        <v>391</v>
      </c>
      <c r="B189" s="3" t="s">
        <v>1</v>
      </c>
      <c r="C189" s="3" t="s">
        <v>940</v>
      </c>
      <c r="D189" s="3" t="s">
        <v>956</v>
      </c>
    </row>
    <row r="190" spans="1:4" x14ac:dyDescent="0.2">
      <c r="A190" s="3" t="s">
        <v>392</v>
      </c>
      <c r="B190" s="3" t="s">
        <v>1</v>
      </c>
      <c r="C190" s="3" t="s">
        <v>940</v>
      </c>
      <c r="D190" s="3" t="s">
        <v>956</v>
      </c>
    </row>
    <row r="191" spans="1:4" x14ac:dyDescent="0.2">
      <c r="A191" s="3" t="s">
        <v>108</v>
      </c>
      <c r="B191" s="3" t="s">
        <v>27</v>
      </c>
      <c r="C191" s="3" t="s">
        <v>940</v>
      </c>
      <c r="D191" s="3" t="s">
        <v>969</v>
      </c>
    </row>
    <row r="192" spans="1:4" x14ac:dyDescent="0.2">
      <c r="A192" s="3" t="s">
        <v>109</v>
      </c>
      <c r="B192" s="3" t="s">
        <v>27</v>
      </c>
      <c r="C192" s="3" t="s">
        <v>940</v>
      </c>
      <c r="D192" s="3" t="s">
        <v>969</v>
      </c>
    </row>
    <row r="193" spans="1:4" x14ac:dyDescent="0.2">
      <c r="A193" s="3" t="s">
        <v>110</v>
      </c>
      <c r="B193" s="3" t="s">
        <v>27</v>
      </c>
      <c r="C193" s="3" t="s">
        <v>940</v>
      </c>
      <c r="D193" s="3" t="s">
        <v>969</v>
      </c>
    </row>
    <row r="194" spans="1:4" x14ac:dyDescent="0.2">
      <c r="A194" s="3" t="s">
        <v>111</v>
      </c>
      <c r="B194" s="3" t="s">
        <v>27</v>
      </c>
      <c r="C194" s="3" t="s">
        <v>940</v>
      </c>
      <c r="D194" s="3" t="s">
        <v>969</v>
      </c>
    </row>
    <row r="195" spans="1:4" x14ac:dyDescent="0.2">
      <c r="A195" s="3" t="s">
        <v>112</v>
      </c>
      <c r="B195" s="3" t="s">
        <v>27</v>
      </c>
      <c r="C195" s="3" t="s">
        <v>940</v>
      </c>
      <c r="D195" s="3" t="s">
        <v>969</v>
      </c>
    </row>
    <row r="196" spans="1:4" x14ac:dyDescent="0.2">
      <c r="A196" s="3" t="s">
        <v>113</v>
      </c>
      <c r="B196" s="3" t="s">
        <v>27</v>
      </c>
      <c r="C196" s="3" t="s">
        <v>940</v>
      </c>
      <c r="D196" s="3" t="s">
        <v>969</v>
      </c>
    </row>
    <row r="197" spans="1:4" x14ac:dyDescent="0.2">
      <c r="A197" s="3" t="s">
        <v>121</v>
      </c>
      <c r="B197" s="3" t="s">
        <v>27</v>
      </c>
      <c r="C197" s="3" t="s">
        <v>940</v>
      </c>
      <c r="D197" s="3" t="s">
        <v>969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944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944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944</v>
      </c>
    </row>
    <row r="201" spans="1:4" x14ac:dyDescent="0.2">
      <c r="A201" s="3" t="s">
        <v>38</v>
      </c>
      <c r="B201" s="3" t="s">
        <v>945</v>
      </c>
      <c r="C201" s="3" t="s">
        <v>17</v>
      </c>
      <c r="D201" s="3" t="s">
        <v>953</v>
      </c>
    </row>
    <row r="202" spans="1:4" x14ac:dyDescent="0.2">
      <c r="A202" s="3" t="s">
        <v>402</v>
      </c>
      <c r="B202" s="3" t="s">
        <v>945</v>
      </c>
      <c r="C202" s="3" t="s">
        <v>17</v>
      </c>
      <c r="D202" s="3" t="s">
        <v>953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954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954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954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954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954</v>
      </c>
    </row>
    <row r="208" spans="1:4" x14ac:dyDescent="0.2">
      <c r="A208" s="3" t="s">
        <v>1690</v>
      </c>
      <c r="B208" s="3" t="s">
        <v>1</v>
      </c>
      <c r="C208" s="3" t="s">
        <v>2</v>
      </c>
      <c r="D208" s="3" t="s">
        <v>954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955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955</v>
      </c>
    </row>
    <row r="211" spans="1:4" x14ac:dyDescent="0.2">
      <c r="A211" s="3" t="s">
        <v>235</v>
      </c>
      <c r="B211" s="3" t="s">
        <v>1</v>
      </c>
      <c r="C211" s="3" t="s">
        <v>970</v>
      </c>
      <c r="D211" s="3" t="s">
        <v>972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958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958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958</v>
      </c>
    </row>
    <row r="215" spans="1:4" x14ac:dyDescent="0.2">
      <c r="A215" s="3" t="s">
        <v>1144</v>
      </c>
      <c r="B215" s="3" t="s">
        <v>1</v>
      </c>
      <c r="C215" s="3" t="s">
        <v>19</v>
      </c>
      <c r="D215" s="3" t="s">
        <v>957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957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957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957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957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960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960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960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960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960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960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960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960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960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960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960</v>
      </c>
    </row>
    <row r="231" spans="1:4" x14ac:dyDescent="0.2">
      <c r="A231" s="3" t="s">
        <v>1590</v>
      </c>
      <c r="B231" s="3" t="s">
        <v>28</v>
      </c>
      <c r="C231" s="3" t="s">
        <v>29</v>
      </c>
      <c r="D231" s="3" t="s">
        <v>960</v>
      </c>
    </row>
    <row r="232" spans="1:4" x14ac:dyDescent="0.2">
      <c r="A232" s="121" t="s">
        <v>1491</v>
      </c>
      <c r="B232" s="3" t="s">
        <v>28</v>
      </c>
      <c r="C232" s="3" t="s">
        <v>29</v>
      </c>
      <c r="D232" s="3" t="s">
        <v>960</v>
      </c>
    </row>
    <row r="233" spans="1:4" x14ac:dyDescent="0.2">
      <c r="A233" s="3" t="s">
        <v>106</v>
      </c>
      <c r="B233" s="3" t="s">
        <v>27</v>
      </c>
      <c r="C233" s="3" t="s">
        <v>962</v>
      </c>
      <c r="D233" s="3" t="s">
        <v>963</v>
      </c>
    </row>
    <row r="234" spans="1:4" x14ac:dyDescent="0.2">
      <c r="A234" s="3" t="s">
        <v>107</v>
      </c>
      <c r="B234" s="3" t="s">
        <v>27</v>
      </c>
      <c r="C234" s="3" t="s">
        <v>962</v>
      </c>
      <c r="D234" s="3" t="s">
        <v>963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964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964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964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966</v>
      </c>
    </row>
    <row r="239" spans="1:4" x14ac:dyDescent="0.2">
      <c r="A239" s="3" t="s">
        <v>403</v>
      </c>
      <c r="B239" s="3" t="s">
        <v>945</v>
      </c>
      <c r="C239" s="3" t="s">
        <v>17</v>
      </c>
      <c r="D239" s="3" t="s">
        <v>965</v>
      </c>
    </row>
    <row r="240" spans="1:4" x14ac:dyDescent="0.2">
      <c r="A240" s="3" t="s">
        <v>404</v>
      </c>
      <c r="B240" s="3" t="s">
        <v>945</v>
      </c>
      <c r="C240" s="3" t="s">
        <v>17</v>
      </c>
      <c r="D240" s="3" t="s">
        <v>965</v>
      </c>
    </row>
    <row r="241" spans="1:4" x14ac:dyDescent="0.2">
      <c r="A241" s="3" t="s">
        <v>405</v>
      </c>
      <c r="B241" s="3" t="s">
        <v>945</v>
      </c>
      <c r="C241" s="3" t="s">
        <v>17</v>
      </c>
      <c r="D241" s="3" t="s">
        <v>965</v>
      </c>
    </row>
    <row r="242" spans="1:4" x14ac:dyDescent="0.2">
      <c r="A242" s="3" t="s">
        <v>406</v>
      </c>
      <c r="B242" s="3" t="s">
        <v>945</v>
      </c>
      <c r="C242" s="3" t="s">
        <v>17</v>
      </c>
      <c r="D242" s="3" t="s">
        <v>965</v>
      </c>
    </row>
    <row r="243" spans="1:4" x14ac:dyDescent="0.2">
      <c r="A243" s="3" t="s">
        <v>32</v>
      </c>
      <c r="B243" s="3" t="s">
        <v>945</v>
      </c>
      <c r="C243" s="3" t="s">
        <v>17</v>
      </c>
      <c r="D243" s="3" t="s">
        <v>965</v>
      </c>
    </row>
    <row r="244" spans="1:4" x14ac:dyDescent="0.2">
      <c r="A244" s="3" t="s">
        <v>410</v>
      </c>
      <c r="B244" s="3" t="s">
        <v>945</v>
      </c>
      <c r="C244" s="3" t="s">
        <v>17</v>
      </c>
      <c r="D244" s="3" t="s">
        <v>965</v>
      </c>
    </row>
    <row r="245" spans="1:4" x14ac:dyDescent="0.2">
      <c r="A245" s="3" t="s">
        <v>1416</v>
      </c>
      <c r="B245" s="3" t="s">
        <v>945</v>
      </c>
      <c r="C245" s="3" t="s">
        <v>17</v>
      </c>
      <c r="D245" s="3" t="s">
        <v>965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959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959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959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967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967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968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968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968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976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976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976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976</v>
      </c>
    </row>
    <row r="258" spans="1:4" x14ac:dyDescent="0.2">
      <c r="A258" s="3" t="s">
        <v>274</v>
      </c>
      <c r="B258" s="3" t="s">
        <v>1</v>
      </c>
      <c r="C258" s="3" t="s">
        <v>974</v>
      </c>
      <c r="D258" s="3" t="s">
        <v>975</v>
      </c>
    </row>
    <row r="259" spans="1:4" x14ac:dyDescent="0.2">
      <c r="A259" s="3" t="s">
        <v>275</v>
      </c>
      <c r="B259" s="3" t="s">
        <v>1</v>
      </c>
      <c r="C259" s="3" t="s">
        <v>974</v>
      </c>
      <c r="D259" s="3" t="s">
        <v>975</v>
      </c>
    </row>
    <row r="260" spans="1:4" x14ac:dyDescent="0.2">
      <c r="A260" s="3" t="s">
        <v>276</v>
      </c>
      <c r="B260" s="3" t="s">
        <v>1</v>
      </c>
      <c r="C260" s="3" t="s">
        <v>974</v>
      </c>
      <c r="D260" s="3" t="s">
        <v>975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977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950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950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950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950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950</v>
      </c>
    </row>
    <row r="267" spans="1:4" x14ac:dyDescent="0.2">
      <c r="A267" s="3" t="s">
        <v>1447</v>
      </c>
      <c r="B267" s="3" t="s">
        <v>1</v>
      </c>
      <c r="C267" s="3" t="s">
        <v>19</v>
      </c>
      <c r="D267" s="3" t="s">
        <v>950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978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978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978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978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978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978</v>
      </c>
    </row>
    <row r="274" spans="1:4" x14ac:dyDescent="0.2">
      <c r="A274" s="3" t="s">
        <v>1436</v>
      </c>
      <c r="B274" s="3" t="s">
        <v>1</v>
      </c>
      <c r="C274" s="3" t="s">
        <v>19</v>
      </c>
      <c r="D274" s="3" t="s">
        <v>978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1004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1004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1004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1004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1004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979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979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935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935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935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935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935</v>
      </c>
    </row>
    <row r="287" spans="1:4" x14ac:dyDescent="0.2">
      <c r="A287" s="3" t="s">
        <v>310</v>
      </c>
      <c r="B287" s="3" t="s">
        <v>1</v>
      </c>
      <c r="C287" s="3" t="s">
        <v>981</v>
      </c>
      <c r="D287" s="3" t="s">
        <v>981</v>
      </c>
    </row>
    <row r="288" spans="1:4" x14ac:dyDescent="0.2">
      <c r="A288" s="3" t="s">
        <v>311</v>
      </c>
      <c r="B288" s="3" t="s">
        <v>1</v>
      </c>
      <c r="C288" s="3" t="s">
        <v>981</v>
      </c>
      <c r="D288" s="3" t="s">
        <v>981</v>
      </c>
    </row>
    <row r="289" spans="1:4" x14ac:dyDescent="0.2">
      <c r="A289" s="3" t="s">
        <v>40</v>
      </c>
      <c r="B289" s="3" t="s">
        <v>27</v>
      </c>
      <c r="C289" s="3" t="s">
        <v>962</v>
      </c>
      <c r="D289" s="3" t="s">
        <v>973</v>
      </c>
    </row>
    <row r="290" spans="1:4" x14ac:dyDescent="0.2">
      <c r="A290" s="3" t="s">
        <v>115</v>
      </c>
      <c r="B290" s="3" t="s">
        <v>27</v>
      </c>
      <c r="C290" s="3" t="s">
        <v>962</v>
      </c>
      <c r="D290" s="3" t="s">
        <v>973</v>
      </c>
    </row>
    <row r="291" spans="1:4" x14ac:dyDescent="0.2">
      <c r="A291" s="3" t="s">
        <v>116</v>
      </c>
      <c r="B291" s="3" t="s">
        <v>27</v>
      </c>
      <c r="C291" s="3" t="s">
        <v>962</v>
      </c>
      <c r="D291" s="3" t="s">
        <v>973</v>
      </c>
    </row>
    <row r="292" spans="1:4" x14ac:dyDescent="0.2">
      <c r="A292" s="3" t="s">
        <v>117</v>
      </c>
      <c r="B292" s="3" t="s">
        <v>27</v>
      </c>
      <c r="C292" s="3" t="s">
        <v>962</v>
      </c>
      <c r="D292" s="3" t="s">
        <v>973</v>
      </c>
    </row>
    <row r="293" spans="1:4" x14ac:dyDescent="0.2">
      <c r="A293" s="3" t="s">
        <v>41</v>
      </c>
      <c r="B293" s="3" t="s">
        <v>27</v>
      </c>
      <c r="C293" s="3" t="s">
        <v>962</v>
      </c>
      <c r="D293" s="3" t="s">
        <v>973</v>
      </c>
    </row>
    <row r="294" spans="1:4" x14ac:dyDescent="0.2">
      <c r="A294" s="3" t="s">
        <v>118</v>
      </c>
      <c r="B294" s="3" t="s">
        <v>27</v>
      </c>
      <c r="C294" s="3" t="s">
        <v>962</v>
      </c>
      <c r="D294" s="3" t="s">
        <v>973</v>
      </c>
    </row>
    <row r="295" spans="1:4" x14ac:dyDescent="0.2">
      <c r="A295" s="3" t="s">
        <v>119</v>
      </c>
      <c r="B295" s="3" t="s">
        <v>27</v>
      </c>
      <c r="C295" s="3" t="s">
        <v>962</v>
      </c>
      <c r="D295" s="3" t="s">
        <v>973</v>
      </c>
    </row>
    <row r="296" spans="1:4" x14ac:dyDescent="0.2">
      <c r="A296" s="3" t="s">
        <v>120</v>
      </c>
      <c r="B296" s="3" t="s">
        <v>27</v>
      </c>
      <c r="C296" s="3" t="s">
        <v>962</v>
      </c>
      <c r="D296" s="3" t="s">
        <v>973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980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983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983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985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985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986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984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984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987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987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987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987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987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988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988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988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929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929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929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929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929</v>
      </c>
    </row>
    <row r="318" spans="1:4" x14ac:dyDescent="0.2">
      <c r="A318" s="3" t="s">
        <v>1149</v>
      </c>
      <c r="B318" s="3" t="s">
        <v>1</v>
      </c>
      <c r="C318" s="3" t="s">
        <v>17</v>
      </c>
      <c r="D318" s="3" t="s">
        <v>929</v>
      </c>
    </row>
    <row r="319" spans="1:4" x14ac:dyDescent="0.2">
      <c r="A319" s="3" t="s">
        <v>331</v>
      </c>
      <c r="B319" s="3" t="s">
        <v>1</v>
      </c>
      <c r="C319" s="3" t="s">
        <v>989</v>
      </c>
      <c r="D319" s="3" t="s">
        <v>990</v>
      </c>
    </row>
    <row r="320" spans="1:4" x14ac:dyDescent="0.2">
      <c r="A320" s="3" t="s">
        <v>332</v>
      </c>
      <c r="B320" s="3" t="s">
        <v>1</v>
      </c>
      <c r="C320" s="3" t="s">
        <v>989</v>
      </c>
      <c r="D320" s="3" t="s">
        <v>990</v>
      </c>
    </row>
    <row r="321" spans="1:4" x14ac:dyDescent="0.2">
      <c r="A321" s="3" t="s">
        <v>333</v>
      </c>
      <c r="B321" s="3" t="s">
        <v>1</v>
      </c>
      <c r="C321" s="3" t="s">
        <v>989</v>
      </c>
      <c r="D321" s="3" t="s">
        <v>990</v>
      </c>
    </row>
    <row r="322" spans="1:4" x14ac:dyDescent="0.2">
      <c r="A322" s="3" t="s">
        <v>337</v>
      </c>
      <c r="B322" s="3" t="s">
        <v>1</v>
      </c>
      <c r="C322" s="3" t="s">
        <v>989</v>
      </c>
      <c r="D322" s="3" t="s">
        <v>990</v>
      </c>
    </row>
    <row r="323" spans="1:4" x14ac:dyDescent="0.2">
      <c r="A323" s="3" t="s">
        <v>43</v>
      </c>
      <c r="B323" s="3" t="s">
        <v>1</v>
      </c>
      <c r="C323" s="3" t="s">
        <v>989</v>
      </c>
      <c r="D323" s="3" t="s">
        <v>990</v>
      </c>
    </row>
    <row r="324" spans="1:4" x14ac:dyDescent="0.2">
      <c r="A324" s="3" t="s">
        <v>338</v>
      </c>
      <c r="B324" s="3" t="s">
        <v>1</v>
      </c>
      <c r="C324" s="3" t="s">
        <v>989</v>
      </c>
      <c r="D324" s="3" t="s">
        <v>990</v>
      </c>
    </row>
    <row r="325" spans="1:4" x14ac:dyDescent="0.2">
      <c r="A325" s="3" t="s">
        <v>98</v>
      </c>
      <c r="B325" s="3" t="s">
        <v>1</v>
      </c>
      <c r="C325" s="3" t="s">
        <v>989</v>
      </c>
      <c r="D325" s="3" t="s">
        <v>990</v>
      </c>
    </row>
    <row r="326" spans="1:4" x14ac:dyDescent="0.2">
      <c r="A326" s="3" t="s">
        <v>339</v>
      </c>
      <c r="B326" s="3" t="s">
        <v>1</v>
      </c>
      <c r="C326" s="3" t="s">
        <v>989</v>
      </c>
      <c r="D326" s="3" t="s">
        <v>990</v>
      </c>
    </row>
    <row r="327" spans="1:4" x14ac:dyDescent="0.2">
      <c r="A327" s="3" t="s">
        <v>340</v>
      </c>
      <c r="B327" s="3" t="s">
        <v>1</v>
      </c>
      <c r="C327" s="3" t="s">
        <v>989</v>
      </c>
      <c r="D327" s="3" t="s">
        <v>990</v>
      </c>
    </row>
    <row r="328" spans="1:4" x14ac:dyDescent="0.2">
      <c r="A328" s="3" t="s">
        <v>1150</v>
      </c>
      <c r="B328" s="3" t="s">
        <v>1</v>
      </c>
      <c r="C328" s="3" t="s">
        <v>17</v>
      </c>
      <c r="D328" s="3" t="s">
        <v>991</v>
      </c>
    </row>
    <row r="329" spans="1:4" x14ac:dyDescent="0.2">
      <c r="A329" s="3" t="s">
        <v>1151</v>
      </c>
      <c r="B329" s="3" t="s">
        <v>1</v>
      </c>
      <c r="C329" s="3" t="s">
        <v>17</v>
      </c>
      <c r="D329" s="3" t="s">
        <v>991</v>
      </c>
    </row>
    <row r="330" spans="1:4" x14ac:dyDescent="0.2">
      <c r="A330" s="3" t="s">
        <v>477</v>
      </c>
      <c r="B330" s="3" t="s">
        <v>926</v>
      </c>
      <c r="C330" s="3" t="s">
        <v>940</v>
      </c>
      <c r="D330" s="3" t="s">
        <v>961</v>
      </c>
    </row>
    <row r="331" spans="1:4" x14ac:dyDescent="0.2">
      <c r="A331" s="3" t="s">
        <v>478</v>
      </c>
      <c r="B331" s="3" t="s">
        <v>926</v>
      </c>
      <c r="C331" s="3" t="s">
        <v>940</v>
      </c>
      <c r="D331" s="3" t="s">
        <v>961</v>
      </c>
    </row>
    <row r="332" spans="1:4" x14ac:dyDescent="0.2">
      <c r="A332" s="3" t="s">
        <v>481</v>
      </c>
      <c r="B332" s="3" t="s">
        <v>926</v>
      </c>
      <c r="C332" s="3" t="s">
        <v>940</v>
      </c>
      <c r="D332" s="3" t="s">
        <v>961</v>
      </c>
    </row>
    <row r="333" spans="1:4" x14ac:dyDescent="0.2">
      <c r="A333" s="3" t="s">
        <v>482</v>
      </c>
      <c r="B333" s="3" t="s">
        <v>926</v>
      </c>
      <c r="C333" s="3" t="s">
        <v>940</v>
      </c>
      <c r="D333" s="3" t="s">
        <v>961</v>
      </c>
    </row>
    <row r="334" spans="1:4" x14ac:dyDescent="0.2">
      <c r="A334" s="3" t="s">
        <v>479</v>
      </c>
      <c r="B334" s="3" t="s">
        <v>926</v>
      </c>
      <c r="C334" s="3" t="s">
        <v>940</v>
      </c>
      <c r="D334" s="3" t="s">
        <v>961</v>
      </c>
    </row>
    <row r="335" spans="1:4" x14ac:dyDescent="0.2">
      <c r="A335" s="3" t="s">
        <v>480</v>
      </c>
      <c r="B335" s="3" t="s">
        <v>926</v>
      </c>
      <c r="C335" s="3" t="s">
        <v>940</v>
      </c>
      <c r="D335" s="3" t="s">
        <v>961</v>
      </c>
    </row>
    <row r="336" spans="1:4" x14ac:dyDescent="0.2">
      <c r="A336" s="3" t="s">
        <v>342</v>
      </c>
      <c r="B336" s="3" t="s">
        <v>1</v>
      </c>
      <c r="C336" s="3" t="s">
        <v>974</v>
      </c>
      <c r="D336" s="3" t="s">
        <v>992</v>
      </c>
    </row>
    <row r="337" spans="1:4" x14ac:dyDescent="0.2">
      <c r="A337" s="3" t="s">
        <v>344</v>
      </c>
      <c r="B337" s="3" t="s">
        <v>1</v>
      </c>
      <c r="C337" s="3" t="s">
        <v>933</v>
      </c>
      <c r="D337" s="3" t="s">
        <v>994</v>
      </c>
    </row>
    <row r="338" spans="1:4" x14ac:dyDescent="0.2">
      <c r="A338" s="3" t="s">
        <v>345</v>
      </c>
      <c r="B338" s="3" t="s">
        <v>1</v>
      </c>
      <c r="C338" s="3" t="s">
        <v>933</v>
      </c>
      <c r="D338" s="3" t="s">
        <v>994</v>
      </c>
    </row>
    <row r="339" spans="1:4" x14ac:dyDescent="0.2">
      <c r="A339" s="3" t="s">
        <v>346</v>
      </c>
      <c r="B339" s="3" t="s">
        <v>1</v>
      </c>
      <c r="C339" s="3" t="s">
        <v>933</v>
      </c>
      <c r="D339" s="3" t="s">
        <v>994</v>
      </c>
    </row>
    <row r="340" spans="1:4" x14ac:dyDescent="0.2">
      <c r="A340" s="3" t="s">
        <v>347</v>
      </c>
      <c r="B340" s="3" t="s">
        <v>1</v>
      </c>
      <c r="C340" s="3" t="s">
        <v>933</v>
      </c>
      <c r="D340" s="3" t="s">
        <v>994</v>
      </c>
    </row>
    <row r="341" spans="1:4" x14ac:dyDescent="0.2">
      <c r="A341" s="3" t="s">
        <v>350</v>
      </c>
      <c r="B341" s="3" t="s">
        <v>1</v>
      </c>
      <c r="C341" s="3" t="s">
        <v>933</v>
      </c>
      <c r="D341" s="3" t="s">
        <v>994</v>
      </c>
    </row>
    <row r="342" spans="1:4" x14ac:dyDescent="0.2">
      <c r="A342" s="3" t="s">
        <v>351</v>
      </c>
      <c r="B342" s="3" t="s">
        <v>1</v>
      </c>
      <c r="C342" s="3" t="s">
        <v>933</v>
      </c>
      <c r="D342" s="3" t="s">
        <v>994</v>
      </c>
    </row>
    <row r="343" spans="1:4" x14ac:dyDescent="0.2">
      <c r="A343" s="3" t="s">
        <v>352</v>
      </c>
      <c r="B343" s="3" t="s">
        <v>1</v>
      </c>
      <c r="C343" s="3" t="s">
        <v>933</v>
      </c>
      <c r="D343" s="3" t="s">
        <v>994</v>
      </c>
    </row>
    <row r="344" spans="1:4" x14ac:dyDescent="0.2">
      <c r="A344" s="3" t="s">
        <v>353</v>
      </c>
      <c r="B344" s="3" t="s">
        <v>1</v>
      </c>
      <c r="C344" s="3" t="s">
        <v>933</v>
      </c>
      <c r="D344" s="3" t="s">
        <v>994</v>
      </c>
    </row>
    <row r="345" spans="1:4" x14ac:dyDescent="0.2">
      <c r="A345" s="3" t="s">
        <v>408</v>
      </c>
      <c r="B345" s="3" t="s">
        <v>945</v>
      </c>
      <c r="C345" s="3" t="s">
        <v>17</v>
      </c>
      <c r="D345" s="3" t="s">
        <v>1001</v>
      </c>
    </row>
    <row r="346" spans="1:4" x14ac:dyDescent="0.2">
      <c r="A346" s="3" t="s">
        <v>409</v>
      </c>
      <c r="B346" s="3" t="s">
        <v>945</v>
      </c>
      <c r="C346" s="3" t="s">
        <v>17</v>
      </c>
      <c r="D346" s="3" t="s">
        <v>1001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1002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1000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998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998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999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997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997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997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997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997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997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997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997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997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996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996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996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996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1003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1003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1003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1003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1005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1005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1005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1005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1005</v>
      </c>
    </row>
    <row r="374" spans="1:4" x14ac:dyDescent="0.2">
      <c r="A374" s="3" t="s">
        <v>385</v>
      </c>
      <c r="B374" s="3" t="s">
        <v>1</v>
      </c>
      <c r="C374" s="3" t="s">
        <v>974</v>
      </c>
      <c r="D374" s="3" t="s">
        <v>1006</v>
      </c>
    </row>
    <row r="375" spans="1:4" x14ac:dyDescent="0.2">
      <c r="A375" s="3" t="s">
        <v>1593</v>
      </c>
      <c r="B375" s="3" t="s">
        <v>1</v>
      </c>
      <c r="C375" s="3" t="s">
        <v>974</v>
      </c>
      <c r="D375" s="3" t="s">
        <v>1006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982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982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982</v>
      </c>
    </row>
    <row r="379" spans="1:4" x14ac:dyDescent="0.2">
      <c r="A379" s="3" t="s">
        <v>122</v>
      </c>
      <c r="B379" s="3" t="s">
        <v>27</v>
      </c>
      <c r="C379" s="3" t="s">
        <v>989</v>
      </c>
      <c r="D379" s="3" t="s">
        <v>1010</v>
      </c>
    </row>
    <row r="380" spans="1:4" x14ac:dyDescent="0.2">
      <c r="A380" s="3" t="s">
        <v>123</v>
      </c>
      <c r="B380" s="3" t="s">
        <v>27</v>
      </c>
      <c r="C380" s="3" t="s">
        <v>989</v>
      </c>
      <c r="D380" s="3" t="s">
        <v>1010</v>
      </c>
    </row>
    <row r="381" spans="1:4" x14ac:dyDescent="0.2">
      <c r="A381" s="3" t="s">
        <v>124</v>
      </c>
      <c r="B381" s="3" t="s">
        <v>27</v>
      </c>
      <c r="C381" s="3" t="s">
        <v>989</v>
      </c>
      <c r="D381" s="3" t="s">
        <v>1010</v>
      </c>
    </row>
    <row r="382" spans="1:4" x14ac:dyDescent="0.2">
      <c r="A382" s="3" t="s">
        <v>452</v>
      </c>
      <c r="B382" s="3" t="s">
        <v>1154</v>
      </c>
      <c r="C382" s="3" t="s">
        <v>989</v>
      </c>
      <c r="D382" s="3" t="s">
        <v>1007</v>
      </c>
    </row>
    <row r="383" spans="1:4" x14ac:dyDescent="0.2">
      <c r="A383" s="3" t="s">
        <v>453</v>
      </c>
      <c r="B383" s="3" t="s">
        <v>1154</v>
      </c>
      <c r="C383" s="3" t="s">
        <v>989</v>
      </c>
      <c r="D383" s="3" t="s">
        <v>1007</v>
      </c>
    </row>
    <row r="384" spans="1:4" x14ac:dyDescent="0.2">
      <c r="A384" s="3" t="s">
        <v>454</v>
      </c>
      <c r="B384" s="3" t="s">
        <v>1154</v>
      </c>
      <c r="C384" s="3" t="s">
        <v>989</v>
      </c>
      <c r="D384" s="3" t="s">
        <v>1007</v>
      </c>
    </row>
    <row r="385" spans="1:4" x14ac:dyDescent="0.2">
      <c r="A385" s="3" t="s">
        <v>455</v>
      </c>
      <c r="B385" s="3" t="s">
        <v>1154</v>
      </c>
      <c r="C385" s="3" t="s">
        <v>989</v>
      </c>
      <c r="D385" s="3" t="s">
        <v>1007</v>
      </c>
    </row>
    <row r="386" spans="1:4" x14ac:dyDescent="0.2">
      <c r="A386" s="3" t="s">
        <v>457</v>
      </c>
      <c r="B386" s="3" t="s">
        <v>1154</v>
      </c>
      <c r="C386" s="3" t="s">
        <v>989</v>
      </c>
      <c r="D386" s="3" t="s">
        <v>1007</v>
      </c>
    </row>
    <row r="387" spans="1:4" x14ac:dyDescent="0.2">
      <c r="A387" s="3" t="s">
        <v>458</v>
      </c>
      <c r="B387" s="3" t="s">
        <v>1154</v>
      </c>
      <c r="C387" s="3" t="s">
        <v>989</v>
      </c>
      <c r="D387" s="3" t="s">
        <v>1007</v>
      </c>
    </row>
    <row r="388" spans="1:4" x14ac:dyDescent="0.2">
      <c r="A388" s="3" t="s">
        <v>459</v>
      </c>
      <c r="B388" s="3" t="s">
        <v>1154</v>
      </c>
      <c r="C388" s="3" t="s">
        <v>989</v>
      </c>
      <c r="D388" s="3" t="s">
        <v>1007</v>
      </c>
    </row>
    <row r="389" spans="1:4" x14ac:dyDescent="0.2">
      <c r="A389" s="3" t="s">
        <v>460</v>
      </c>
      <c r="B389" s="3" t="s">
        <v>1154</v>
      </c>
      <c r="C389" s="3" t="s">
        <v>989</v>
      </c>
      <c r="D389" s="3" t="s">
        <v>1007</v>
      </c>
    </row>
    <row r="390" spans="1:4" x14ac:dyDescent="0.2">
      <c r="A390" s="3" t="s">
        <v>461</v>
      </c>
      <c r="B390" s="3" t="s">
        <v>1154</v>
      </c>
      <c r="C390" s="3" t="s">
        <v>989</v>
      </c>
      <c r="D390" s="3" t="s">
        <v>1007</v>
      </c>
    </row>
    <row r="391" spans="1:4" x14ac:dyDescent="0.2">
      <c r="A391" s="3" t="s">
        <v>462</v>
      </c>
      <c r="B391" s="3" t="s">
        <v>1154</v>
      </c>
      <c r="C391" s="3" t="s">
        <v>989</v>
      </c>
      <c r="D391" s="3" t="s">
        <v>1007</v>
      </c>
    </row>
    <row r="392" spans="1:4" x14ac:dyDescent="0.2">
      <c r="A392" s="3" t="s">
        <v>463</v>
      </c>
      <c r="B392" s="3" t="s">
        <v>1154</v>
      </c>
      <c r="C392" s="3" t="s">
        <v>989</v>
      </c>
      <c r="D392" s="3" t="s">
        <v>1007</v>
      </c>
    </row>
    <row r="393" spans="1:4" x14ac:dyDescent="0.2">
      <c r="A393" s="3" t="s">
        <v>464</v>
      </c>
      <c r="B393" s="3" t="s">
        <v>1154</v>
      </c>
      <c r="C393" s="3" t="s">
        <v>989</v>
      </c>
      <c r="D393" s="3" t="s">
        <v>1007</v>
      </c>
    </row>
    <row r="394" spans="1:4" x14ac:dyDescent="0.2">
      <c r="A394" s="3" t="s">
        <v>465</v>
      </c>
      <c r="B394" s="3" t="s">
        <v>1154</v>
      </c>
      <c r="C394" s="3" t="s">
        <v>989</v>
      </c>
      <c r="D394" s="3" t="s">
        <v>1007</v>
      </c>
    </row>
    <row r="395" spans="1:4" x14ac:dyDescent="0.2">
      <c r="A395" s="3" t="s">
        <v>925</v>
      </c>
      <c r="B395" s="3" t="s">
        <v>1154</v>
      </c>
      <c r="C395" s="3" t="s">
        <v>989</v>
      </c>
      <c r="D395" s="3" t="s">
        <v>1007</v>
      </c>
    </row>
    <row r="396" spans="1:4" x14ac:dyDescent="0.2">
      <c r="A396" s="3" t="s">
        <v>466</v>
      </c>
      <c r="B396" s="3" t="s">
        <v>1154</v>
      </c>
      <c r="C396" s="3" t="s">
        <v>989</v>
      </c>
      <c r="D396" s="3" t="s">
        <v>1007</v>
      </c>
    </row>
    <row r="397" spans="1:4" x14ac:dyDescent="0.2">
      <c r="A397" s="3" t="s">
        <v>467</v>
      </c>
      <c r="B397" s="3" t="s">
        <v>1154</v>
      </c>
      <c r="C397" s="3" t="s">
        <v>989</v>
      </c>
      <c r="D397" s="3" t="s">
        <v>1007</v>
      </c>
    </row>
    <row r="398" spans="1:4" x14ac:dyDescent="0.2">
      <c r="A398" s="3" t="s">
        <v>468</v>
      </c>
      <c r="B398" s="3" t="s">
        <v>1154</v>
      </c>
      <c r="C398" s="3" t="s">
        <v>989</v>
      </c>
      <c r="D398" s="3" t="s">
        <v>1007</v>
      </c>
    </row>
    <row r="399" spans="1:4" x14ac:dyDescent="0.2">
      <c r="A399" s="3" t="s">
        <v>470</v>
      </c>
      <c r="B399" s="3" t="s">
        <v>1154</v>
      </c>
      <c r="C399" s="3" t="s">
        <v>989</v>
      </c>
      <c r="D399" s="3" t="s">
        <v>1007</v>
      </c>
    </row>
    <row r="400" spans="1:4" x14ac:dyDescent="0.2">
      <c r="A400" s="3" t="s">
        <v>471</v>
      </c>
      <c r="B400" s="3" t="s">
        <v>1154</v>
      </c>
      <c r="C400" s="3" t="s">
        <v>989</v>
      </c>
      <c r="D400" s="3" t="s">
        <v>1007</v>
      </c>
    </row>
    <row r="401" spans="1:4" x14ac:dyDescent="0.2">
      <c r="A401" s="3" t="s">
        <v>472</v>
      </c>
      <c r="B401" s="3" t="s">
        <v>1154</v>
      </c>
      <c r="C401" s="3" t="s">
        <v>989</v>
      </c>
      <c r="D401" s="3" t="s">
        <v>1007</v>
      </c>
    </row>
    <row r="402" spans="1:4" x14ac:dyDescent="0.2">
      <c r="A402" s="25" t="s">
        <v>473</v>
      </c>
      <c r="B402" s="3" t="s">
        <v>1154</v>
      </c>
      <c r="C402" s="3" t="s">
        <v>989</v>
      </c>
      <c r="D402" s="3" t="s">
        <v>1007</v>
      </c>
    </row>
    <row r="403" spans="1:4" x14ac:dyDescent="0.2">
      <c r="A403" s="3" t="s">
        <v>474</v>
      </c>
      <c r="B403" s="3" t="s">
        <v>1154</v>
      </c>
      <c r="C403" s="3" t="s">
        <v>989</v>
      </c>
      <c r="D403" s="3" t="s">
        <v>1007</v>
      </c>
    </row>
    <row r="404" spans="1:4" x14ac:dyDescent="0.2">
      <c r="A404" s="3" t="s">
        <v>475</v>
      </c>
      <c r="B404" s="3" t="s">
        <v>1154</v>
      </c>
      <c r="C404" s="3" t="s">
        <v>989</v>
      </c>
      <c r="D404" s="3" t="s">
        <v>1007</v>
      </c>
    </row>
    <row r="405" spans="1:4" x14ac:dyDescent="0.2">
      <c r="A405" s="3" t="s">
        <v>476</v>
      </c>
      <c r="B405" s="3" t="s">
        <v>1154</v>
      </c>
      <c r="C405" s="3" t="s">
        <v>989</v>
      </c>
      <c r="D405" s="3" t="s">
        <v>1007</v>
      </c>
    </row>
    <row r="406" spans="1:4" x14ac:dyDescent="0.2">
      <c r="A406" s="3" t="s">
        <v>924</v>
      </c>
      <c r="B406" s="3" t="s">
        <v>1154</v>
      </c>
      <c r="C406" s="3" t="s">
        <v>989</v>
      </c>
      <c r="D406" s="3" t="s">
        <v>1007</v>
      </c>
    </row>
    <row r="407" spans="1:4" x14ac:dyDescent="0.2">
      <c r="A407" s="3" t="s">
        <v>923</v>
      </c>
      <c r="B407" s="3" t="s">
        <v>1154</v>
      </c>
      <c r="C407" s="3" t="s">
        <v>989</v>
      </c>
      <c r="D407" s="3" t="s">
        <v>1007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1009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1008</v>
      </c>
    </row>
    <row r="410" spans="1:4" x14ac:dyDescent="0.2">
      <c r="A410" s="3" t="s">
        <v>921</v>
      </c>
      <c r="B410" s="3" t="s">
        <v>1</v>
      </c>
      <c r="C410" s="3" t="s">
        <v>22</v>
      </c>
      <c r="D410" s="3" t="s">
        <v>1012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1011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993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993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993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993</v>
      </c>
    </row>
    <row r="416" spans="1:4" x14ac:dyDescent="0.2">
      <c r="A416" s="3" t="s">
        <v>407</v>
      </c>
      <c r="B416" s="3" t="s">
        <v>945</v>
      </c>
      <c r="C416" s="3" t="s">
        <v>17</v>
      </c>
      <c r="D416" s="3" t="s">
        <v>995</v>
      </c>
    </row>
    <row r="417" spans="1:4" x14ac:dyDescent="0.2">
      <c r="A417" s="3" t="s">
        <v>922</v>
      </c>
      <c r="B417" s="3" t="s">
        <v>945</v>
      </c>
      <c r="C417" s="3" t="s">
        <v>17</v>
      </c>
      <c r="D417" s="3" t="s">
        <v>995</v>
      </c>
    </row>
    <row r="418" spans="1:4" x14ac:dyDescent="0.2">
      <c r="A418" s="25" t="s">
        <v>411</v>
      </c>
      <c r="B418" s="3" t="s">
        <v>945</v>
      </c>
      <c r="C418" s="3" t="s">
        <v>17</v>
      </c>
      <c r="D418" s="3" t="s">
        <v>995</v>
      </c>
    </row>
    <row r="419" spans="1:4" x14ac:dyDescent="0.2">
      <c r="A419" s="3" t="s">
        <v>412</v>
      </c>
      <c r="B419" s="3" t="s">
        <v>945</v>
      </c>
      <c r="C419" s="3" t="s">
        <v>17</v>
      </c>
      <c r="D419" s="3" t="s">
        <v>995</v>
      </c>
    </row>
    <row r="420" spans="1:4" x14ac:dyDescent="0.2">
      <c r="A420" s="25" t="s">
        <v>879</v>
      </c>
      <c r="B420" s="3" t="s">
        <v>939</v>
      </c>
      <c r="C420" s="3" t="s">
        <v>940</v>
      </c>
      <c r="D420" s="3" t="s">
        <v>941</v>
      </c>
    </row>
    <row r="421" spans="1:4" x14ac:dyDescent="0.2">
      <c r="A421" s="7" t="s">
        <v>880</v>
      </c>
      <c r="B421" s="3" t="s">
        <v>939</v>
      </c>
      <c r="C421" s="3" t="s">
        <v>940</v>
      </c>
      <c r="D421" s="3" t="s">
        <v>941</v>
      </c>
    </row>
    <row r="422" spans="1:4" x14ac:dyDescent="0.2">
      <c r="A422" s="1" t="s">
        <v>881</v>
      </c>
      <c r="B422" s="3" t="s">
        <v>939</v>
      </c>
      <c r="C422" s="3" t="s">
        <v>940</v>
      </c>
      <c r="D422" s="3" t="s">
        <v>941</v>
      </c>
    </row>
    <row r="423" spans="1:4" x14ac:dyDescent="0.2">
      <c r="A423" s="1" t="s">
        <v>882</v>
      </c>
      <c r="B423" s="3" t="s">
        <v>939</v>
      </c>
      <c r="C423" s="3" t="s">
        <v>940</v>
      </c>
      <c r="D423" s="3" t="s">
        <v>941</v>
      </c>
    </row>
    <row r="424" spans="1:4" x14ac:dyDescent="0.2">
      <c r="A424" s="1" t="s">
        <v>883</v>
      </c>
      <c r="B424" s="3" t="s">
        <v>939</v>
      </c>
      <c r="C424" s="3" t="s">
        <v>940</v>
      </c>
      <c r="D424" s="3" t="s">
        <v>941</v>
      </c>
    </row>
    <row r="425" spans="1:4" x14ac:dyDescent="0.2">
      <c r="A425" s="1" t="s">
        <v>884</v>
      </c>
      <c r="B425" s="3" t="s">
        <v>939</v>
      </c>
      <c r="C425" s="3" t="s">
        <v>940</v>
      </c>
      <c r="D425" s="3" t="s">
        <v>941</v>
      </c>
    </row>
    <row r="426" spans="1:4" x14ac:dyDescent="0.2">
      <c r="A426" s="1" t="s">
        <v>885</v>
      </c>
      <c r="B426" s="3" t="s">
        <v>939</v>
      </c>
      <c r="C426" s="3" t="s">
        <v>940</v>
      </c>
      <c r="D426" s="3" t="s">
        <v>941</v>
      </c>
    </row>
    <row r="427" spans="1:4" x14ac:dyDescent="0.2">
      <c r="A427" s="1" t="s">
        <v>886</v>
      </c>
      <c r="B427" s="3" t="s">
        <v>939</v>
      </c>
      <c r="C427" s="3" t="s">
        <v>940</v>
      </c>
      <c r="D427" s="3" t="s">
        <v>941</v>
      </c>
    </row>
    <row r="428" spans="1:4" x14ac:dyDescent="0.2">
      <c r="A428" s="7" t="s">
        <v>887</v>
      </c>
      <c r="B428" s="3" t="s">
        <v>939</v>
      </c>
      <c r="C428" s="3" t="s">
        <v>940</v>
      </c>
      <c r="D428" s="3" t="s">
        <v>941</v>
      </c>
    </row>
    <row r="429" spans="1:4" x14ac:dyDescent="0.2">
      <c r="A429" s="7" t="s">
        <v>888</v>
      </c>
      <c r="B429" s="3" t="s">
        <v>939</v>
      </c>
      <c r="C429" s="3" t="s">
        <v>940</v>
      </c>
      <c r="D429" s="3" t="s">
        <v>941</v>
      </c>
    </row>
    <row r="430" spans="1:4" x14ac:dyDescent="0.2">
      <c r="A430" s="1" t="s">
        <v>889</v>
      </c>
      <c r="B430" s="3" t="s">
        <v>939</v>
      </c>
      <c r="C430" s="3" t="s">
        <v>940</v>
      </c>
      <c r="D430" s="3" t="s">
        <v>941</v>
      </c>
    </row>
    <row r="431" spans="1:4" x14ac:dyDescent="0.2">
      <c r="A431" s="1" t="s">
        <v>890</v>
      </c>
      <c r="B431" s="3" t="s">
        <v>939</v>
      </c>
      <c r="C431" s="3" t="s">
        <v>940</v>
      </c>
      <c r="D431" s="3" t="s">
        <v>941</v>
      </c>
    </row>
    <row r="432" spans="1:4" x14ac:dyDescent="0.2">
      <c r="A432" s="1" t="s">
        <v>891</v>
      </c>
      <c r="B432" s="3" t="s">
        <v>939</v>
      </c>
      <c r="C432" s="3" t="s">
        <v>940</v>
      </c>
      <c r="D432" s="3" t="s">
        <v>941</v>
      </c>
    </row>
    <row r="433" spans="1:4" x14ac:dyDescent="0.2">
      <c r="A433" s="1" t="s">
        <v>892</v>
      </c>
      <c r="B433" s="3" t="s">
        <v>939</v>
      </c>
      <c r="C433" s="3" t="s">
        <v>940</v>
      </c>
      <c r="D433" s="3" t="s">
        <v>941</v>
      </c>
    </row>
    <row r="434" spans="1:4" x14ac:dyDescent="0.2">
      <c r="A434" s="1" t="s">
        <v>893</v>
      </c>
      <c r="B434" s="3" t="s">
        <v>939</v>
      </c>
      <c r="C434" s="3" t="s">
        <v>940</v>
      </c>
      <c r="D434" s="3" t="s">
        <v>941</v>
      </c>
    </row>
    <row r="435" spans="1:4" x14ac:dyDescent="0.2">
      <c r="A435" s="1" t="s">
        <v>894</v>
      </c>
      <c r="B435" s="3" t="s">
        <v>939</v>
      </c>
      <c r="C435" s="3" t="s">
        <v>940</v>
      </c>
      <c r="D435" s="3" t="s">
        <v>941</v>
      </c>
    </row>
    <row r="436" spans="1:4" x14ac:dyDescent="0.2">
      <c r="A436" s="1" t="s">
        <v>895</v>
      </c>
      <c r="B436" s="3" t="s">
        <v>939</v>
      </c>
      <c r="C436" s="3" t="s">
        <v>940</v>
      </c>
      <c r="D436" s="3" t="s">
        <v>941</v>
      </c>
    </row>
    <row r="437" spans="1:4" x14ac:dyDescent="0.2">
      <c r="A437" s="1" t="s">
        <v>896</v>
      </c>
      <c r="B437" s="3" t="s">
        <v>939</v>
      </c>
      <c r="C437" s="3" t="s">
        <v>940</v>
      </c>
      <c r="D437" s="3" t="s">
        <v>941</v>
      </c>
    </row>
    <row r="438" spans="1:4" x14ac:dyDescent="0.2">
      <c r="A438" s="1" t="s">
        <v>897</v>
      </c>
      <c r="B438" s="3" t="s">
        <v>939</v>
      </c>
      <c r="C438" s="3" t="s">
        <v>940</v>
      </c>
      <c r="D438" s="3" t="s">
        <v>941</v>
      </c>
    </row>
    <row r="439" spans="1:4" x14ac:dyDescent="0.2">
      <c r="A439" s="1" t="s">
        <v>898</v>
      </c>
      <c r="B439" s="3" t="s">
        <v>939</v>
      </c>
      <c r="C439" s="3" t="s">
        <v>940</v>
      </c>
      <c r="D439" s="3" t="s">
        <v>941</v>
      </c>
    </row>
    <row r="440" spans="1:4" x14ac:dyDescent="0.2">
      <c r="A440" s="1" t="s">
        <v>899</v>
      </c>
      <c r="B440" s="3" t="s">
        <v>939</v>
      </c>
      <c r="C440" s="3" t="s">
        <v>940</v>
      </c>
      <c r="D440" s="3" t="s">
        <v>941</v>
      </c>
    </row>
    <row r="441" spans="1:4" x14ac:dyDescent="0.2">
      <c r="A441" s="1" t="s">
        <v>900</v>
      </c>
      <c r="B441" s="3" t="s">
        <v>939</v>
      </c>
      <c r="C441" s="3" t="s">
        <v>940</v>
      </c>
      <c r="D441" s="3" t="s">
        <v>941</v>
      </c>
    </row>
    <row r="442" spans="1:4" x14ac:dyDescent="0.2">
      <c r="A442" s="1" t="s">
        <v>901</v>
      </c>
      <c r="B442" s="3" t="s">
        <v>939</v>
      </c>
      <c r="C442" s="3" t="s">
        <v>940</v>
      </c>
      <c r="D442" s="3" t="s">
        <v>941</v>
      </c>
    </row>
    <row r="443" spans="1:4" x14ac:dyDescent="0.2">
      <c r="A443" s="1" t="s">
        <v>902</v>
      </c>
      <c r="B443" s="3" t="s">
        <v>939</v>
      </c>
      <c r="C443" s="3" t="s">
        <v>940</v>
      </c>
      <c r="D443" s="3" t="s">
        <v>941</v>
      </c>
    </row>
    <row r="444" spans="1:4" x14ac:dyDescent="0.2">
      <c r="A444" s="1" t="s">
        <v>903</v>
      </c>
      <c r="B444" s="3" t="s">
        <v>939</v>
      </c>
      <c r="C444" s="3" t="s">
        <v>940</v>
      </c>
      <c r="D444" s="3" t="s">
        <v>941</v>
      </c>
    </row>
    <row r="445" spans="1:4" x14ac:dyDescent="0.2">
      <c r="A445" s="1" t="s">
        <v>904</v>
      </c>
      <c r="B445" s="3" t="s">
        <v>939</v>
      </c>
      <c r="C445" s="3" t="s">
        <v>940</v>
      </c>
      <c r="D445" s="3" t="s">
        <v>941</v>
      </c>
    </row>
    <row r="446" spans="1:4" x14ac:dyDescent="0.2">
      <c r="A446" s="7" t="s">
        <v>456</v>
      </c>
      <c r="B446" s="3" t="s">
        <v>1154</v>
      </c>
      <c r="C446" s="3" t="s">
        <v>989</v>
      </c>
      <c r="D446" s="3" t="s">
        <v>1007</v>
      </c>
    </row>
    <row r="447" spans="1:4" x14ac:dyDescent="0.2">
      <c r="A447" s="3" t="s">
        <v>1633</v>
      </c>
      <c r="B447" s="3" t="s">
        <v>1</v>
      </c>
      <c r="C447" s="3" t="s">
        <v>989</v>
      </c>
      <c r="D447" s="3" t="s">
        <v>1635</v>
      </c>
    </row>
    <row r="448" spans="1:4" x14ac:dyDescent="0.2">
      <c r="A448" s="3" t="s">
        <v>1636</v>
      </c>
      <c r="B448" s="3" t="s">
        <v>1</v>
      </c>
      <c r="C448" s="3" t="s">
        <v>989</v>
      </c>
      <c r="D448" s="3" t="s">
        <v>1635</v>
      </c>
    </row>
    <row r="449" spans="1:4" x14ac:dyDescent="0.2">
      <c r="A449" s="3" t="s">
        <v>1638</v>
      </c>
      <c r="B449" s="3" t="s">
        <v>1</v>
      </c>
      <c r="C449" s="3" t="s">
        <v>989</v>
      </c>
      <c r="D449" s="3" t="s">
        <v>1635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1124</v>
      </c>
      <c r="C1" s="17" t="s">
        <v>31</v>
      </c>
      <c r="D1" s="17" t="s">
        <v>30</v>
      </c>
      <c r="E1" s="17" t="s">
        <v>1096</v>
      </c>
      <c r="F1" s="17" t="s">
        <v>1094</v>
      </c>
      <c r="G1" s="17" t="s">
        <v>1111</v>
      </c>
      <c r="H1" s="17" t="s">
        <v>1095</v>
      </c>
      <c r="I1" s="83" t="s">
        <v>1141</v>
      </c>
      <c r="J1" s="19" t="s">
        <v>1133</v>
      </c>
      <c r="K1" s="19" t="s">
        <v>1131</v>
      </c>
      <c r="L1" s="19" t="s">
        <v>1130</v>
      </c>
      <c r="M1" s="19" t="s">
        <v>1132</v>
      </c>
      <c r="N1" s="19" t="s">
        <v>1134</v>
      </c>
      <c r="O1" s="19" t="s">
        <v>1103</v>
      </c>
      <c r="P1" s="17" t="s">
        <v>1016</v>
      </c>
      <c r="Q1" s="17" t="s">
        <v>1098</v>
      </c>
      <c r="R1" s="17" t="s">
        <v>1125</v>
      </c>
      <c r="S1" s="17" t="s">
        <v>1122</v>
      </c>
      <c r="T1" s="17" t="s">
        <v>1121</v>
      </c>
      <c r="U1" s="17" t="s">
        <v>1129</v>
      </c>
      <c r="V1" s="17" t="s">
        <v>1127</v>
      </c>
      <c r="W1" s="22" t="s">
        <v>1128</v>
      </c>
      <c r="X1" s="17" t="s">
        <v>1105</v>
      </c>
    </row>
    <row r="2" spans="1:24" ht="17" thickTop="1" x14ac:dyDescent="0.2">
      <c r="A2" s="3" t="s">
        <v>1135</v>
      </c>
      <c r="B2" s="3" t="str">
        <f t="shared" ref="B2:B13" si="0">CONCATENATE(C2,"_",D2)</f>
        <v>US28_hcmva_4XT1</v>
      </c>
      <c r="C2" s="2" t="s">
        <v>42</v>
      </c>
      <c r="D2" s="3" t="s">
        <v>1119</v>
      </c>
      <c r="E2" s="3" t="s">
        <v>1101</v>
      </c>
      <c r="F2" s="3" t="s">
        <v>1107</v>
      </c>
      <c r="G2" s="3" t="s">
        <v>1120</v>
      </c>
      <c r="H2" s="3" t="s">
        <v>1110</v>
      </c>
      <c r="I2" s="16" t="s">
        <v>1138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1123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1118</v>
      </c>
    </row>
    <row r="3" spans="1:24" x14ac:dyDescent="0.2">
      <c r="A3" s="3" t="s">
        <v>1137</v>
      </c>
      <c r="B3" s="3" t="str">
        <f t="shared" si="0"/>
        <v>OPRM_mouse_5C1M</v>
      </c>
      <c r="C3" s="3" t="s">
        <v>44</v>
      </c>
      <c r="D3" s="3" t="s">
        <v>84</v>
      </c>
      <c r="E3" s="3" t="s">
        <v>1101</v>
      </c>
      <c r="F3" s="3" t="s">
        <v>1107</v>
      </c>
      <c r="G3" s="3" t="s">
        <v>1120</v>
      </c>
      <c r="H3" s="3" t="s">
        <v>1110</v>
      </c>
      <c r="I3" s="16" t="s">
        <v>1138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1123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1118</v>
      </c>
    </row>
    <row r="4" spans="1:24" x14ac:dyDescent="0.2">
      <c r="A4" s="3" t="s">
        <v>1136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1101</v>
      </c>
      <c r="F4" s="14" t="s">
        <v>24</v>
      </c>
      <c r="G4" s="3" t="s">
        <v>1120</v>
      </c>
      <c r="H4" s="3" t="s">
        <v>1110</v>
      </c>
      <c r="I4" s="16" t="s">
        <v>1138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1113</v>
      </c>
      <c r="P4" s="15" t="s">
        <v>1015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1101</v>
      </c>
      <c r="F5" s="3" t="s">
        <v>1097</v>
      </c>
      <c r="G5" s="3" t="s">
        <v>1120</v>
      </c>
      <c r="H5" s="3" t="s">
        <v>1110</v>
      </c>
      <c r="I5" s="16" t="s">
        <v>1139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1113</v>
      </c>
      <c r="P5" s="15" t="s">
        <v>1014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1106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1101</v>
      </c>
      <c r="F6" s="3" t="s">
        <v>16</v>
      </c>
      <c r="G6" s="3" t="s">
        <v>1143</v>
      </c>
      <c r="H6" s="3" t="s">
        <v>1110</v>
      </c>
      <c r="I6" s="16" t="s">
        <v>1139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1112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1101</v>
      </c>
      <c r="F7" s="3" t="s">
        <v>1107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1114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1108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1101</v>
      </c>
      <c r="F8" s="3" t="s">
        <v>1107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1114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1108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1101</v>
      </c>
      <c r="F9" s="3" t="s">
        <v>1107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1114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1108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1109</v>
      </c>
      <c r="E10" s="3" t="s">
        <v>1101</v>
      </c>
      <c r="F10" s="3" t="s">
        <v>1107</v>
      </c>
      <c r="H10" s="3" t="s">
        <v>1110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1108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1042</v>
      </c>
      <c r="E11" s="3" t="s">
        <v>1101</v>
      </c>
      <c r="F11" s="3" t="s">
        <v>1107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1108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1024</v>
      </c>
      <c r="E12" s="3" t="s">
        <v>1101</v>
      </c>
      <c r="F12" s="3" t="s">
        <v>1097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1113</v>
      </c>
      <c r="P12" s="15" t="s">
        <v>1014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1106</v>
      </c>
    </row>
    <row r="13" spans="1:24" x14ac:dyDescent="0.2">
      <c r="B13" s="3" t="str">
        <f t="shared" si="0"/>
        <v>FFAR1_human_4PHU</v>
      </c>
      <c r="C13" s="2" t="s">
        <v>1144</v>
      </c>
      <c r="D13" s="14" t="s">
        <v>52</v>
      </c>
      <c r="E13" s="3" t="s">
        <v>1100</v>
      </c>
      <c r="F13" s="3" t="s">
        <v>23</v>
      </c>
      <c r="G13" s="3" t="s">
        <v>1145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1030</v>
      </c>
      <c r="E14" s="3" t="s">
        <v>1100</v>
      </c>
      <c r="F14" s="14"/>
      <c r="I14" s="16" t="s">
        <v>1138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1100</v>
      </c>
      <c r="F15" s="3" t="s">
        <v>23</v>
      </c>
      <c r="G15" s="3" t="s">
        <v>1142</v>
      </c>
      <c r="I15" s="16" t="s">
        <v>1138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1112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1022</v>
      </c>
      <c r="E16" s="3" t="s">
        <v>1100</v>
      </c>
      <c r="F16" s="3" t="s">
        <v>23</v>
      </c>
      <c r="G16" s="3" t="s">
        <v>1120</v>
      </c>
      <c r="I16" s="16" t="s">
        <v>1140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1112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1115</v>
      </c>
      <c r="E17" s="3" t="s">
        <v>1100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1115</v>
      </c>
      <c r="E18" s="3" t="s">
        <v>1100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1100</v>
      </c>
      <c r="F19" s="3" t="s">
        <v>23</v>
      </c>
      <c r="G19" s="3" t="s">
        <v>1146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1115</v>
      </c>
      <c r="E20" s="3" t="s">
        <v>1100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1093</v>
      </c>
      <c r="D21" s="3" t="s">
        <v>1115</v>
      </c>
      <c r="E21" s="3" t="s">
        <v>1100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1013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1102</v>
      </c>
      <c r="E22" s="3" t="s">
        <v>1100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1017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1104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1126</v>
      </c>
      <c r="E23" s="3" t="s">
        <v>1100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1113</v>
      </c>
      <c r="P23" s="15" t="s">
        <v>1015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1117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1116</v>
      </c>
      <c r="E24" s="3" t="s">
        <v>1100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1113</v>
      </c>
      <c r="P24" s="15" t="s">
        <v>1015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1117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1100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1014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1099</v>
      </c>
      <c r="E26" s="3" t="s">
        <v>1100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1014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1056</v>
      </c>
      <c r="C1" s="8" t="s">
        <v>1057</v>
      </c>
      <c r="D1" s="8" t="s">
        <v>1073</v>
      </c>
      <c r="E1" s="8" t="s">
        <v>1074</v>
      </c>
      <c r="F1" s="8" t="s">
        <v>1058</v>
      </c>
      <c r="G1" s="8" t="s">
        <v>1059</v>
      </c>
      <c r="H1" s="8" t="s">
        <v>1075</v>
      </c>
      <c r="I1" s="8" t="s">
        <v>1076</v>
      </c>
      <c r="J1" s="8" t="s">
        <v>1060</v>
      </c>
      <c r="K1" s="8" t="s">
        <v>1061</v>
      </c>
      <c r="L1" s="8" t="s">
        <v>1088</v>
      </c>
      <c r="M1" s="8" t="s">
        <v>1089</v>
      </c>
      <c r="N1" s="8" t="s">
        <v>1062</v>
      </c>
      <c r="O1" s="8" t="s">
        <v>1063</v>
      </c>
      <c r="P1" s="8" t="s">
        <v>1091</v>
      </c>
      <c r="Q1" s="8" t="s">
        <v>1092</v>
      </c>
      <c r="R1" s="8" t="s">
        <v>1064</v>
      </c>
      <c r="S1" s="8" t="s">
        <v>1065</v>
      </c>
      <c r="T1" s="8" t="s">
        <v>1066</v>
      </c>
      <c r="U1" s="8" t="s">
        <v>1067</v>
      </c>
      <c r="V1" s="8" t="s">
        <v>1068</v>
      </c>
      <c r="W1" s="8" t="s">
        <v>1069</v>
      </c>
      <c r="X1" s="8" t="s">
        <v>1070</v>
      </c>
      <c r="Y1" s="8" t="s">
        <v>1071</v>
      </c>
    </row>
    <row r="2" spans="1:25" x14ac:dyDescent="0.2">
      <c r="A2" s="1" t="s">
        <v>1321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17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84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2020-08-31T17:30:26Z</dcterms:modified>
  <cp:category/>
  <cp:contentStatus/>
</cp:coreProperties>
</file>