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"/>
    </mc:Choice>
  </mc:AlternateContent>
  <bookViews>
    <workbookView xWindow="860" yWindow="460" windowWidth="33600" windowHeight="20540" tabRatio="500"/>
  </bookViews>
  <sheets>
    <sheet name="SegEnds_Xtal_Prot#" sheetId="1" r:id="rId1"/>
    <sheet name="SegEnds_Xtal_BW#" sheetId="2" r:id="rId2"/>
    <sheet name="SegEnds_NonXtal_BW#" sheetId="3" r:id="rId3"/>
    <sheet name="SegEnds_NonXtal_Prot#" sheetId="4" r:id="rId4"/>
    <sheet name="Bulges_Constrictions" sheetId="6" r:id="rId5"/>
    <sheet name="Seqs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2" l="1"/>
  <c r="P3" i="3"/>
  <c r="X3" i="4"/>
  <c r="P4" i="3"/>
  <c r="X4" i="4"/>
  <c r="P5" i="3"/>
  <c r="X5" i="4"/>
  <c r="P6" i="3"/>
  <c r="X6" i="4"/>
  <c r="P7" i="3"/>
  <c r="X7" i="4"/>
  <c r="P8" i="3"/>
  <c r="X8" i="4"/>
  <c r="P9" i="3"/>
  <c r="X9" i="4"/>
  <c r="P10" i="3"/>
  <c r="X10" i="4"/>
  <c r="P11" i="3"/>
  <c r="X11" i="4"/>
  <c r="P12" i="3"/>
  <c r="X12" i="4"/>
  <c r="P13" i="3"/>
  <c r="X13" i="4"/>
  <c r="O2" i="2"/>
  <c r="O3" i="3"/>
  <c r="V3" i="4"/>
  <c r="O4" i="3"/>
  <c r="V4" i="4"/>
  <c r="O5" i="3"/>
  <c r="V5" i="4"/>
  <c r="O6" i="3"/>
  <c r="V6" i="4"/>
  <c r="O7" i="3"/>
  <c r="V7" i="4"/>
  <c r="O8" i="3"/>
  <c r="V8" i="4"/>
  <c r="O9" i="3"/>
  <c r="V9" i="4"/>
  <c r="O10" i="3"/>
  <c r="V10" i="4"/>
  <c r="O11" i="3"/>
  <c r="V11" i="4"/>
  <c r="O12" i="3"/>
  <c r="V12" i="4"/>
  <c r="O13" i="3"/>
  <c r="V13" i="4"/>
  <c r="P2" i="3"/>
  <c r="X2" i="4"/>
  <c r="O2" i="3"/>
  <c r="V2" i="4"/>
  <c r="N2" i="2"/>
  <c r="M2" i="2"/>
  <c r="M2" i="3"/>
  <c r="S2" i="4"/>
  <c r="AD3" i="1"/>
  <c r="AD2" i="1"/>
  <c r="AB3" i="1"/>
  <c r="AB2" i="1"/>
  <c r="Z2" i="1"/>
  <c r="J2" i="2"/>
  <c r="J2" i="3"/>
  <c r="O2" i="4"/>
  <c r="B13" i="3"/>
  <c r="C2" i="2"/>
  <c r="C13" i="3"/>
  <c r="D2" i="2"/>
  <c r="D13" i="3"/>
  <c r="E2" i="2"/>
  <c r="E13" i="3"/>
  <c r="F2" i="2"/>
  <c r="F13" i="3"/>
  <c r="G2" i="2"/>
  <c r="G13" i="3"/>
  <c r="H2" i="2"/>
  <c r="H13" i="3"/>
  <c r="I2" i="2"/>
  <c r="I13" i="3"/>
  <c r="J13" i="3"/>
  <c r="M13" i="3"/>
  <c r="N13" i="3"/>
  <c r="Q2" i="2"/>
  <c r="Q13" i="3"/>
  <c r="R2" i="2"/>
  <c r="R13" i="3"/>
  <c r="U2" i="2"/>
  <c r="U13" i="3"/>
  <c r="V2" i="2"/>
  <c r="V13" i="3"/>
  <c r="Y2" i="2"/>
  <c r="Y13" i="3"/>
  <c r="Z2" i="2"/>
  <c r="Z13" i="3"/>
  <c r="AC2" i="2"/>
  <c r="AC13" i="3"/>
  <c r="AD2" i="2"/>
  <c r="AD13" i="3"/>
  <c r="AG2" i="2"/>
  <c r="AG13" i="3"/>
  <c r="AH2" i="2"/>
  <c r="AH13" i="3"/>
  <c r="A13" i="4"/>
  <c r="C13" i="4"/>
  <c r="D13" i="4"/>
  <c r="F13" i="4"/>
  <c r="G13" i="4"/>
  <c r="I13" i="4"/>
  <c r="J13" i="4"/>
  <c r="L13" i="4"/>
  <c r="M13" i="4"/>
  <c r="O13" i="4"/>
  <c r="S13" i="4"/>
  <c r="U13" i="4"/>
  <c r="Y13" i="4"/>
  <c r="AA13" i="4"/>
  <c r="AE13" i="4"/>
  <c r="AG13" i="4"/>
  <c r="AK13" i="4"/>
  <c r="AM13" i="4"/>
  <c r="AQ13" i="4"/>
  <c r="AS13" i="4"/>
  <c r="AW13" i="4"/>
  <c r="AY13" i="4"/>
  <c r="BD13" i="4"/>
  <c r="A3" i="1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13" i="6"/>
  <c r="D13" i="6"/>
  <c r="D13" i="5"/>
  <c r="B12" i="3"/>
  <c r="C12" i="3"/>
  <c r="D12" i="3"/>
  <c r="E12" i="3"/>
  <c r="F12" i="3"/>
  <c r="G12" i="3"/>
  <c r="H12" i="3"/>
  <c r="I12" i="3"/>
  <c r="J12" i="3"/>
  <c r="M12" i="3"/>
  <c r="N12" i="3"/>
  <c r="Q12" i="3"/>
  <c r="R12" i="3"/>
  <c r="U12" i="3"/>
  <c r="V12" i="3"/>
  <c r="Y12" i="3"/>
  <c r="Z12" i="3"/>
  <c r="AC12" i="3"/>
  <c r="AD12" i="3"/>
  <c r="AG12" i="3"/>
  <c r="AH12" i="3"/>
  <c r="C12" i="4"/>
  <c r="D12" i="4"/>
  <c r="F12" i="4"/>
  <c r="G12" i="4"/>
  <c r="I12" i="4"/>
  <c r="J12" i="4"/>
  <c r="L12" i="4"/>
  <c r="M12" i="4"/>
  <c r="O12" i="4"/>
  <c r="S12" i="4"/>
  <c r="U12" i="4"/>
  <c r="Y12" i="4"/>
  <c r="AA12" i="4"/>
  <c r="AE12" i="4"/>
  <c r="AG12" i="4"/>
  <c r="AK12" i="4"/>
  <c r="AM12" i="4"/>
  <c r="AQ12" i="4"/>
  <c r="AS12" i="4"/>
  <c r="AW12" i="4"/>
  <c r="AY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A12" i="4"/>
  <c r="B12" i="6"/>
  <c r="D12" i="6"/>
  <c r="D12" i="5"/>
  <c r="B11" i="3"/>
  <c r="C11" i="3"/>
  <c r="D11" i="3"/>
  <c r="E11" i="3"/>
  <c r="F11" i="3"/>
  <c r="G11" i="3"/>
  <c r="I11" i="3"/>
  <c r="J11" i="3"/>
  <c r="M11" i="3"/>
  <c r="N11" i="3"/>
  <c r="Q11" i="3"/>
  <c r="R11" i="3"/>
  <c r="U11" i="3"/>
  <c r="V11" i="3"/>
  <c r="Y11" i="3"/>
  <c r="Z11" i="3"/>
  <c r="AC11" i="3"/>
  <c r="AD11" i="3"/>
  <c r="AG11" i="3"/>
  <c r="AH11" i="3"/>
  <c r="A11" i="4"/>
  <c r="C11" i="4"/>
  <c r="B10" i="3"/>
  <c r="C10" i="3"/>
  <c r="D11" i="4"/>
  <c r="D10" i="3"/>
  <c r="F11" i="4"/>
  <c r="E10" i="3"/>
  <c r="G11" i="4"/>
  <c r="F10" i="3"/>
  <c r="I11" i="4"/>
  <c r="G10" i="3"/>
  <c r="J11" i="4"/>
  <c r="H10" i="3"/>
  <c r="L11" i="4"/>
  <c r="I10" i="3"/>
  <c r="M11" i="4"/>
  <c r="J10" i="3"/>
  <c r="O11" i="4"/>
  <c r="M10" i="3"/>
  <c r="S11" i="4"/>
  <c r="N10" i="3"/>
  <c r="U11" i="4"/>
  <c r="Q10" i="3"/>
  <c r="Y11" i="4"/>
  <c r="R10" i="3"/>
  <c r="AA11" i="4"/>
  <c r="U10" i="3"/>
  <c r="AE11" i="4"/>
  <c r="V10" i="3"/>
  <c r="AG11" i="4"/>
  <c r="Y10" i="3"/>
  <c r="AK11" i="4"/>
  <c r="Z10" i="3"/>
  <c r="AM11" i="4"/>
  <c r="AC10" i="3"/>
  <c r="AQ11" i="4"/>
  <c r="AD10" i="3"/>
  <c r="AS11" i="4"/>
  <c r="AG10" i="3"/>
  <c r="AW11" i="4"/>
  <c r="AH10" i="3"/>
  <c r="AY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11" i="6"/>
  <c r="D11" i="6"/>
  <c r="D11" i="5"/>
  <c r="A10" i="4"/>
  <c r="C10" i="4"/>
  <c r="B9" i="3"/>
  <c r="C9" i="3"/>
  <c r="D10" i="4"/>
  <c r="D9" i="3"/>
  <c r="F10" i="4"/>
  <c r="E9" i="3"/>
  <c r="G10" i="4"/>
  <c r="F9" i="3"/>
  <c r="I10" i="4"/>
  <c r="G9" i="3"/>
  <c r="J10" i="4"/>
  <c r="H9" i="3"/>
  <c r="L10" i="4"/>
  <c r="I9" i="3"/>
  <c r="M10" i="4"/>
  <c r="J9" i="3"/>
  <c r="O10" i="4"/>
  <c r="M9" i="3"/>
  <c r="S10" i="4"/>
  <c r="N9" i="3"/>
  <c r="U10" i="4"/>
  <c r="Q9" i="3"/>
  <c r="Y10" i="4"/>
  <c r="R9" i="3"/>
  <c r="AA10" i="4"/>
  <c r="U9" i="3"/>
  <c r="AE10" i="4"/>
  <c r="V9" i="3"/>
  <c r="AG10" i="4"/>
  <c r="Y9" i="3"/>
  <c r="AK10" i="4"/>
  <c r="Z9" i="3"/>
  <c r="AM10" i="4"/>
  <c r="AC9" i="3"/>
  <c r="AQ10" i="4"/>
  <c r="AD9" i="3"/>
  <c r="AS10" i="4"/>
  <c r="AG9" i="3"/>
  <c r="AW10" i="4"/>
  <c r="AH9" i="3"/>
  <c r="AY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10" i="6"/>
  <c r="D10" i="6"/>
  <c r="D10" i="5"/>
  <c r="A9" i="4"/>
  <c r="C9" i="4"/>
  <c r="B8" i="3"/>
  <c r="C8" i="3"/>
  <c r="D9" i="4"/>
  <c r="D8" i="3"/>
  <c r="F9" i="4"/>
  <c r="E8" i="3"/>
  <c r="G9" i="4"/>
  <c r="F8" i="3"/>
  <c r="I9" i="4"/>
  <c r="G8" i="3"/>
  <c r="J9" i="4"/>
  <c r="H8" i="3"/>
  <c r="L9" i="4"/>
  <c r="I8" i="3"/>
  <c r="M9" i="4"/>
  <c r="J8" i="3"/>
  <c r="O9" i="4"/>
  <c r="M8" i="3"/>
  <c r="S9" i="4"/>
  <c r="N8" i="3"/>
  <c r="U9" i="4"/>
  <c r="Q8" i="3"/>
  <c r="Y9" i="4"/>
  <c r="R8" i="3"/>
  <c r="AA9" i="4"/>
  <c r="U8" i="3"/>
  <c r="AE9" i="4"/>
  <c r="V8" i="3"/>
  <c r="AG9" i="4"/>
  <c r="Y8" i="3"/>
  <c r="AK9" i="4"/>
  <c r="Z8" i="3"/>
  <c r="AM9" i="4"/>
  <c r="AC8" i="3"/>
  <c r="AQ9" i="4"/>
  <c r="AD8" i="3"/>
  <c r="AS9" i="4"/>
  <c r="AG8" i="3"/>
  <c r="AW9" i="4"/>
  <c r="AH8" i="3"/>
  <c r="AY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9" i="6"/>
  <c r="D9" i="6"/>
  <c r="D9" i="5"/>
  <c r="BP3" i="1"/>
  <c r="BP2" i="1"/>
  <c r="BR3" i="1"/>
  <c r="BR2" i="1"/>
  <c r="BN2" i="1"/>
  <c r="B3" i="3"/>
  <c r="AH3" i="3"/>
  <c r="AY3" i="4"/>
  <c r="A3" i="4"/>
  <c r="BX3" i="4"/>
  <c r="B4" i="3"/>
  <c r="AH4" i="3"/>
  <c r="AY4" i="4"/>
  <c r="A4" i="4"/>
  <c r="BX4" i="4"/>
  <c r="B5" i="3"/>
  <c r="AH5" i="3"/>
  <c r="AY5" i="4"/>
  <c r="A5" i="4"/>
  <c r="BX5" i="4"/>
  <c r="B6" i="3"/>
  <c r="AH6" i="3"/>
  <c r="AY6" i="4"/>
  <c r="A6" i="4"/>
  <c r="BX6" i="4"/>
  <c r="B7" i="3"/>
  <c r="AH7" i="3"/>
  <c r="AY7" i="4"/>
  <c r="A7" i="4"/>
  <c r="BX7" i="4"/>
  <c r="AY8" i="4"/>
  <c r="A8" i="4"/>
  <c r="BX8" i="4"/>
  <c r="B2" i="3"/>
  <c r="AH2" i="3"/>
  <c r="AY2" i="4"/>
  <c r="A2" i="4"/>
  <c r="BX2" i="4"/>
  <c r="AG3" i="3"/>
  <c r="AW3" i="4"/>
  <c r="BW3" i="4"/>
  <c r="AG4" i="3"/>
  <c r="AW4" i="4"/>
  <c r="BW4" i="4"/>
  <c r="AG5" i="3"/>
  <c r="AW5" i="4"/>
  <c r="BW5" i="4"/>
  <c r="AG6" i="3"/>
  <c r="AW6" i="4"/>
  <c r="BW6" i="4"/>
  <c r="AG7" i="3"/>
  <c r="AW7" i="4"/>
  <c r="BW7" i="4"/>
  <c r="AW8" i="4"/>
  <c r="BW8" i="4"/>
  <c r="AG2" i="3"/>
  <c r="AW2" i="4"/>
  <c r="BW2" i="4"/>
  <c r="AC3" i="3"/>
  <c r="AQ3" i="4"/>
  <c r="BU3" i="4"/>
  <c r="AD3" i="3"/>
  <c r="AS3" i="4"/>
  <c r="BV3" i="4"/>
  <c r="AC4" i="3"/>
  <c r="AQ4" i="4"/>
  <c r="BU4" i="4"/>
  <c r="AD4" i="3"/>
  <c r="AS4" i="4"/>
  <c r="BV4" i="4"/>
  <c r="AC5" i="3"/>
  <c r="AQ5" i="4"/>
  <c r="BU5" i="4"/>
  <c r="AD5" i="3"/>
  <c r="AS5" i="4"/>
  <c r="BV5" i="4"/>
  <c r="AC6" i="3"/>
  <c r="AQ6" i="4"/>
  <c r="BU6" i="4"/>
  <c r="AD6" i="3"/>
  <c r="AS6" i="4"/>
  <c r="BV6" i="4"/>
  <c r="AC7" i="3"/>
  <c r="AQ7" i="4"/>
  <c r="BU7" i="4"/>
  <c r="AD7" i="3"/>
  <c r="AS7" i="4"/>
  <c r="BV7" i="4"/>
  <c r="AQ8" i="4"/>
  <c r="BU8" i="4"/>
  <c r="AS8" i="4"/>
  <c r="BV8" i="4"/>
  <c r="AD2" i="3"/>
  <c r="AS2" i="4"/>
  <c r="BV2" i="4"/>
  <c r="AC2" i="3"/>
  <c r="AQ2" i="4"/>
  <c r="BU2" i="4"/>
  <c r="Y3" i="3"/>
  <c r="AK3" i="4"/>
  <c r="BS3" i="4"/>
  <c r="Z3" i="3"/>
  <c r="AM3" i="4"/>
  <c r="BT3" i="4"/>
  <c r="Y4" i="3"/>
  <c r="AK4" i="4"/>
  <c r="BS4" i="4"/>
  <c r="Z4" i="3"/>
  <c r="AM4" i="4"/>
  <c r="BT4" i="4"/>
  <c r="Y5" i="3"/>
  <c r="AK5" i="4"/>
  <c r="BS5" i="4"/>
  <c r="Z5" i="3"/>
  <c r="AM5" i="4"/>
  <c r="BT5" i="4"/>
  <c r="Y6" i="3"/>
  <c r="AK6" i="4"/>
  <c r="BS6" i="4"/>
  <c r="Z6" i="3"/>
  <c r="AM6" i="4"/>
  <c r="BT6" i="4"/>
  <c r="Y7" i="3"/>
  <c r="AK7" i="4"/>
  <c r="BS7" i="4"/>
  <c r="Z7" i="3"/>
  <c r="AM7" i="4"/>
  <c r="BT7" i="4"/>
  <c r="AK8" i="4"/>
  <c r="BS8" i="4"/>
  <c r="AM8" i="4"/>
  <c r="BT8" i="4"/>
  <c r="Z2" i="3"/>
  <c r="AM2" i="4"/>
  <c r="BT2" i="4"/>
  <c r="Y2" i="3"/>
  <c r="AK2" i="4"/>
  <c r="BS2" i="4"/>
  <c r="U3" i="3"/>
  <c r="AE3" i="4"/>
  <c r="BQ3" i="4"/>
  <c r="V3" i="3"/>
  <c r="AG3" i="4"/>
  <c r="BR3" i="4"/>
  <c r="U4" i="3"/>
  <c r="AE4" i="4"/>
  <c r="BQ4" i="4"/>
  <c r="V4" i="3"/>
  <c r="AG4" i="4"/>
  <c r="BR4" i="4"/>
  <c r="U5" i="3"/>
  <c r="AE5" i="4"/>
  <c r="BQ5" i="4"/>
  <c r="V5" i="3"/>
  <c r="AG5" i="4"/>
  <c r="BR5" i="4"/>
  <c r="U6" i="3"/>
  <c r="AE6" i="4"/>
  <c r="BQ6" i="4"/>
  <c r="V6" i="3"/>
  <c r="AG6" i="4"/>
  <c r="BR6" i="4"/>
  <c r="U7" i="3"/>
  <c r="AE7" i="4"/>
  <c r="BQ7" i="4"/>
  <c r="V7" i="3"/>
  <c r="AG7" i="4"/>
  <c r="BR7" i="4"/>
  <c r="AE8" i="4"/>
  <c r="BQ8" i="4"/>
  <c r="AG8" i="4"/>
  <c r="BR8" i="4"/>
  <c r="V2" i="3"/>
  <c r="AG2" i="4"/>
  <c r="BR2" i="4"/>
  <c r="U2" i="3"/>
  <c r="AE2" i="4"/>
  <c r="BQ2" i="4"/>
  <c r="Q3" i="3"/>
  <c r="Y3" i="4"/>
  <c r="BO3" i="4"/>
  <c r="R3" i="3"/>
  <c r="AA3" i="4"/>
  <c r="BP3" i="4"/>
  <c r="Q4" i="3"/>
  <c r="Y4" i="4"/>
  <c r="BO4" i="4"/>
  <c r="R4" i="3"/>
  <c r="AA4" i="4"/>
  <c r="BP4" i="4"/>
  <c r="Q5" i="3"/>
  <c r="Y5" i="4"/>
  <c r="BO5" i="4"/>
  <c r="R5" i="3"/>
  <c r="AA5" i="4"/>
  <c r="BP5" i="4"/>
  <c r="Q6" i="3"/>
  <c r="Y6" i="4"/>
  <c r="BO6" i="4"/>
  <c r="R6" i="3"/>
  <c r="AA6" i="4"/>
  <c r="BP6" i="4"/>
  <c r="Q7" i="3"/>
  <c r="Y7" i="4"/>
  <c r="BO7" i="4"/>
  <c r="R7" i="3"/>
  <c r="AA7" i="4"/>
  <c r="BP7" i="4"/>
  <c r="Y8" i="4"/>
  <c r="BO8" i="4"/>
  <c r="AA8" i="4"/>
  <c r="BP8" i="4"/>
  <c r="R2" i="3"/>
  <c r="AA2" i="4"/>
  <c r="BP2" i="4"/>
  <c r="Q2" i="3"/>
  <c r="Y2" i="4"/>
  <c r="BO2" i="4"/>
  <c r="M3" i="3"/>
  <c r="S3" i="4"/>
  <c r="BM3" i="4"/>
  <c r="N3" i="3"/>
  <c r="U3" i="4"/>
  <c r="BN3" i="4"/>
  <c r="M4" i="3"/>
  <c r="S4" i="4"/>
  <c r="BM4" i="4"/>
  <c r="N4" i="3"/>
  <c r="U4" i="4"/>
  <c r="BN4" i="4"/>
  <c r="M5" i="3"/>
  <c r="S5" i="4"/>
  <c r="BM5" i="4"/>
  <c r="N5" i="3"/>
  <c r="U5" i="4"/>
  <c r="BN5" i="4"/>
  <c r="M6" i="3"/>
  <c r="S6" i="4"/>
  <c r="BM6" i="4"/>
  <c r="N6" i="3"/>
  <c r="U6" i="4"/>
  <c r="BN6" i="4"/>
  <c r="M7" i="3"/>
  <c r="S7" i="4"/>
  <c r="BM7" i="4"/>
  <c r="N7" i="3"/>
  <c r="U7" i="4"/>
  <c r="BN7" i="4"/>
  <c r="S8" i="4"/>
  <c r="BM8" i="4"/>
  <c r="U8" i="4"/>
  <c r="BN8" i="4"/>
  <c r="N2" i="3"/>
  <c r="U2" i="4"/>
  <c r="BN2" i="4"/>
  <c r="BM2" i="4"/>
  <c r="D3" i="6"/>
  <c r="D4" i="6"/>
  <c r="D5" i="6"/>
  <c r="D6" i="6"/>
  <c r="D7" i="6"/>
  <c r="D8" i="6"/>
  <c r="D2" i="6"/>
  <c r="B3" i="6"/>
  <c r="B4" i="6"/>
  <c r="B5" i="6"/>
  <c r="B6" i="6"/>
  <c r="B7" i="6"/>
  <c r="B8" i="6"/>
  <c r="B2" i="6"/>
  <c r="C2" i="4"/>
  <c r="C3" i="3"/>
  <c r="D3" i="3"/>
  <c r="E3" i="3"/>
  <c r="F3" i="3"/>
  <c r="G3" i="3"/>
  <c r="H3" i="3"/>
  <c r="I3" i="3"/>
  <c r="J3" i="3"/>
  <c r="C4" i="3"/>
  <c r="D4" i="3"/>
  <c r="E4" i="3"/>
  <c r="F4" i="3"/>
  <c r="G4" i="3"/>
  <c r="H4" i="3"/>
  <c r="I4" i="3"/>
  <c r="J4" i="3"/>
  <c r="C5" i="3"/>
  <c r="D5" i="3"/>
  <c r="E5" i="3"/>
  <c r="F5" i="3"/>
  <c r="G5" i="3"/>
  <c r="H5" i="3"/>
  <c r="I5" i="3"/>
  <c r="J5" i="3"/>
  <c r="C6" i="3"/>
  <c r="D6" i="3"/>
  <c r="E6" i="3"/>
  <c r="F6" i="3"/>
  <c r="G6" i="3"/>
  <c r="H6" i="3"/>
  <c r="I6" i="3"/>
  <c r="J6" i="3"/>
  <c r="C7" i="3"/>
  <c r="D7" i="3"/>
  <c r="E7" i="3"/>
  <c r="F7" i="3"/>
  <c r="G7" i="3"/>
  <c r="H7" i="3"/>
  <c r="I7" i="3"/>
  <c r="J7" i="3"/>
  <c r="M3" i="4"/>
  <c r="M4" i="4"/>
  <c r="M5" i="4"/>
  <c r="M6" i="4"/>
  <c r="M7" i="4"/>
  <c r="M8" i="4"/>
  <c r="D3" i="4"/>
  <c r="BE3" i="4"/>
  <c r="F3" i="4"/>
  <c r="BF3" i="4"/>
  <c r="G3" i="4"/>
  <c r="BG3" i="4"/>
  <c r="I3" i="4"/>
  <c r="BH3" i="4"/>
  <c r="J3" i="4"/>
  <c r="BI3" i="4"/>
  <c r="L3" i="4"/>
  <c r="BJ3" i="4"/>
  <c r="D4" i="4"/>
  <c r="BE4" i="4"/>
  <c r="F4" i="4"/>
  <c r="BF4" i="4"/>
  <c r="G4" i="4"/>
  <c r="BG4" i="4"/>
  <c r="I4" i="4"/>
  <c r="BH4" i="4"/>
  <c r="J4" i="4"/>
  <c r="BI4" i="4"/>
  <c r="L4" i="4"/>
  <c r="BJ4" i="4"/>
  <c r="D5" i="4"/>
  <c r="BE5" i="4"/>
  <c r="F5" i="4"/>
  <c r="BF5" i="4"/>
  <c r="G5" i="4"/>
  <c r="BG5" i="4"/>
  <c r="I5" i="4"/>
  <c r="BH5" i="4"/>
  <c r="J5" i="4"/>
  <c r="BI5" i="4"/>
  <c r="L5" i="4"/>
  <c r="BJ5" i="4"/>
  <c r="D6" i="4"/>
  <c r="BE6" i="4"/>
  <c r="F6" i="4"/>
  <c r="BF6" i="4"/>
  <c r="G6" i="4"/>
  <c r="BG6" i="4"/>
  <c r="I6" i="4"/>
  <c r="BH6" i="4"/>
  <c r="J6" i="4"/>
  <c r="BI6" i="4"/>
  <c r="L6" i="4"/>
  <c r="BJ6" i="4"/>
  <c r="D7" i="4"/>
  <c r="BE7" i="4"/>
  <c r="F7" i="4"/>
  <c r="BF7" i="4"/>
  <c r="G7" i="4"/>
  <c r="BG7" i="4"/>
  <c r="I7" i="4"/>
  <c r="BH7" i="4"/>
  <c r="J7" i="4"/>
  <c r="BI7" i="4"/>
  <c r="L7" i="4"/>
  <c r="BJ7" i="4"/>
  <c r="D8" i="4"/>
  <c r="BE8" i="4"/>
  <c r="F8" i="4"/>
  <c r="BF8" i="4"/>
  <c r="G8" i="4"/>
  <c r="BG8" i="4"/>
  <c r="I8" i="4"/>
  <c r="BH8" i="4"/>
  <c r="J8" i="4"/>
  <c r="BI8" i="4"/>
  <c r="L8" i="4"/>
  <c r="BJ8" i="4"/>
  <c r="C2" i="3"/>
  <c r="D2" i="4"/>
  <c r="BE2" i="4"/>
  <c r="D2" i="3"/>
  <c r="F2" i="4"/>
  <c r="BF2" i="4"/>
  <c r="E2" i="3"/>
  <c r="G2" i="4"/>
  <c r="BG2" i="4"/>
  <c r="F2" i="3"/>
  <c r="I2" i="4"/>
  <c r="BH2" i="4"/>
  <c r="G2" i="3"/>
  <c r="J2" i="4"/>
  <c r="BI2" i="4"/>
  <c r="I2" i="3"/>
  <c r="M2" i="4"/>
  <c r="BK2" i="4"/>
  <c r="H2" i="3"/>
  <c r="L2" i="4"/>
  <c r="BJ2" i="4"/>
  <c r="O3" i="4"/>
  <c r="O4" i="4"/>
  <c r="O5" i="4"/>
  <c r="O6" i="4"/>
  <c r="O7" i="4"/>
  <c r="O8" i="4"/>
  <c r="BK3" i="4"/>
  <c r="BL3" i="4"/>
  <c r="BK4" i="4"/>
  <c r="BL4" i="4"/>
  <c r="BK5" i="4"/>
  <c r="BL5" i="4"/>
  <c r="BK6" i="4"/>
  <c r="BL6" i="4"/>
  <c r="BK7" i="4"/>
  <c r="BL7" i="4"/>
  <c r="BK8" i="4"/>
  <c r="BL8" i="4"/>
  <c r="BL2" i="4"/>
  <c r="D3" i="1"/>
  <c r="F3" i="1"/>
  <c r="H3" i="1"/>
  <c r="J3" i="1"/>
  <c r="L3" i="1"/>
  <c r="N3" i="1"/>
  <c r="N2" i="1"/>
  <c r="L2" i="1"/>
  <c r="J2" i="1"/>
  <c r="H2" i="1"/>
  <c r="F2" i="1"/>
  <c r="D2" i="1"/>
  <c r="P2" i="1"/>
  <c r="D8" i="5"/>
  <c r="R2" i="1"/>
  <c r="X2" i="1"/>
  <c r="AF2" i="1"/>
  <c r="AH2" i="1"/>
  <c r="AN2" i="1"/>
  <c r="AP2" i="1"/>
  <c r="AV2" i="1"/>
  <c r="AX2" i="1"/>
  <c r="BD2" i="1"/>
  <c r="BF2" i="1"/>
  <c r="BL2" i="1"/>
  <c r="C8" i="4"/>
  <c r="BD8" i="4"/>
  <c r="D7" i="5"/>
  <c r="C7" i="4"/>
  <c r="BD7" i="4"/>
  <c r="D6" i="5"/>
  <c r="C6" i="4"/>
  <c r="BD6" i="4"/>
  <c r="C5" i="4"/>
  <c r="BD5" i="4"/>
  <c r="D5" i="5"/>
  <c r="D4" i="5"/>
  <c r="C4" i="4"/>
  <c r="BD4" i="4"/>
  <c r="D3" i="5"/>
  <c r="C3" i="4"/>
  <c r="BD3" i="4"/>
  <c r="A2" i="2"/>
  <c r="A2" i="1"/>
  <c r="P3" i="1"/>
  <c r="R3" i="1"/>
  <c r="X3" i="1"/>
  <c r="Z3" i="1"/>
  <c r="AF3" i="1"/>
  <c r="AH3" i="1"/>
  <c r="AN3" i="1"/>
  <c r="AP3" i="1"/>
  <c r="AV3" i="1"/>
  <c r="AX3" i="1"/>
  <c r="BD3" i="1"/>
  <c r="BF3" i="1"/>
  <c r="BL3" i="1"/>
  <c r="BN3" i="1"/>
  <c r="D2" i="5"/>
  <c r="BD2" i="4"/>
</calcChain>
</file>

<file path=xl/sharedStrings.xml><?xml version="1.0" encoding="utf-8"?>
<sst xmlns="http://schemas.openxmlformats.org/spreadsheetml/2006/main" count="664" uniqueCount="106">
  <si>
    <t>UniProt</t>
  </si>
  <si>
    <t>PDB</t>
  </si>
  <si>
    <t>1b</t>
  </si>
  <si>
    <t>1e</t>
  </si>
  <si>
    <t>2b</t>
  </si>
  <si>
    <t>2e</t>
  </si>
  <si>
    <t>3b</t>
  </si>
  <si>
    <t>3e</t>
  </si>
  <si>
    <t>4b</t>
  </si>
  <si>
    <t>4e</t>
  </si>
  <si>
    <t>5b</t>
  </si>
  <si>
    <t>5e</t>
  </si>
  <si>
    <t>6b</t>
  </si>
  <si>
    <t>6e</t>
  </si>
  <si>
    <t>7b</t>
  </si>
  <si>
    <t>7e</t>
  </si>
  <si>
    <t>_wt</t>
  </si>
  <si>
    <t>ste2_yeast</t>
  </si>
  <si>
    <t>Sequence</t>
  </si>
  <si>
    <t>Xtalised</t>
  </si>
  <si>
    <t>Xtal_template</t>
  </si>
  <si>
    <t>MSDAAPSLSNLFYDPTYNPGQSTINYTSIYGNGSTITFDELQGLVNSTVTQAIMFGVRCGAAALTLIVMWMTSRSRKTPIFIINQVSLFLIILHSALYFKYLLSNYSSVTYALTGFPQFISRGDVHVYGATNIIQVLLVASIETSLVFQIKVIFTGDNFKRIGLMLTSISFTLGIATVTMYFVSAVKGMIVTYNDVSATQDKYFNASTILLASSINFMSFVLVVKLILAIRSRRFLGLKQFDSFHILLIMSCQSLLVPSIIFILAYSLKPNQGTDVLTTVATLLAVLSLPLSSMWATAANNASKTNTITSDFTTSTDRFYPGTLSSFQTDSINNDAKSSLRSRLYDLYPRRKETTSDKHSERTFVSETADDIEKNQFYQLPTPTSSKNTRIGPFADASYKEGEVEPVDMYTPDTAADEEARKFWTEDNNNL</t>
  </si>
  <si>
    <t>1x</t>
  </si>
  <si>
    <t>2x</t>
  </si>
  <si>
    <t>3x</t>
  </si>
  <si>
    <t>4x</t>
  </si>
  <si>
    <t>5x</t>
  </si>
  <si>
    <t>6x</t>
  </si>
  <si>
    <t>7x</t>
  </si>
  <si>
    <t>Key</t>
  </si>
  <si>
    <t>XtalTempl</t>
  </si>
  <si>
    <t>A0A0W0DD93_CANGB</t>
  </si>
  <si>
    <t>MEMGYDPRMYNPRNEYLNFTSVYDVNDTIRFSTLDAIVKGLLRIAIVHGVRLGAVFMTLIIMFISSNTWKKPIFIINMVSLMLVMIHSALSFHYLLSNYSSISYILTGFPQLITSNNKRIQDAASIVQVLLVAAIEASLVFQIHVMFTIENIKLIREIVLSISIAMGLATVATYLAAAIKLIRGLHDEVMPQTHLIFNLSIILLASSINFMTFILVIKLFFAIRSRRYLGLRQFDAFHILLIMFCQSLLIPSVLYIIVYAVDSRSNQDYLIPIANLFVVLSLPLSSIWANTSNNSSRSPKYWKNSQTNKSNGSFVSSISVNSDSQNPLYKKIVRFTSKGDTTRSIVSDSTLAEVGKYSMQDVSNSNFECRDLDFEKVKHTCENFGRISETYSELSTLDTTALNETRLFWKQQSQCDK</t>
  </si>
  <si>
    <t>Q8WZM9_SORMA</t>
  </si>
  <si>
    <t>MASSFPADLYSGISQALNTTHATLTLPIPSPDRDHLENQMLFLFDNYGQLLNITTTDIDMVNGMLVSIAINYATQIGATFIMLAIMLLMTPRRRFKRLPTIISLLGLLLNLIRVVLLSLFYPSHWTDFYVLYTGDWQFVPRSDMSISVAATVLSIPVTALLLSALMVQAWSMMQLWTPLWRALVALVSGLLSVATVVLSFANCIFQAENILYATPLPDYWVRKLYLALTTGSISWFTFLFMIRLVMHMWTSRSILPSMKGLKAMDVLIITNAILMLIPLLFAGLEFLDSSSGFESGSLTQTSVVIVLPLGILVAQRIATRGLLPDSEASGGPNSMPLSDLNLTGDDHHKDKRAEAGNINATPTNTTTSFSSIAKSGVSCLPKAKRMTASSASSSQRPLLMTTRSTISTNDSSGFPSPSLHNATQYSMHMPNFPPVPYPGYSSRNTGVTSHIASDGHLHGQQGVNQHPSVDHFDRELACIDDEADDLDDDDSYPFDSKLEKAVMDDDVERGRTMPPHGGVRIEWTIETRSEERMLNPNPFNNASAGVTQKPRSFE</t>
  </si>
  <si>
    <t>B1GVB8_PENCH</t>
  </si>
  <si>
    <t>MATSSPIQPFDPFTQNVTFRLQDGTEFPVSVKALDVFVMYNVRVCINYGCQFGASFVLLVILVLLTQSDKRRSAVFILNGLALFLNSSRLLFQVIHFSTAFEQVYPYVSGDYSSVPWSAYAISIVAVVLTTLVVVCIEASLVIQVHVVCSTLRRRYRHPLLAISILVALVPIGFRCAWMVANCKAIIKLTYTNDVWWIESATNICVTISICFFCVIFVTKLGFAIKQRRRLGVREFGPMKVIFVMGCQTMVVPAIFSITQYYVVVPEFSSNVVTLVVISLPLSSIWAGAVLENARRTGSQDRQRRRNLWRALVGGAESLLSPTKDSPTSLSAMTAAQTLCYSDHTMSKGSPTSRDTDAFYGISVEHDISINRVQRNNSIV</t>
  </si>
  <si>
    <t>mam2_schpo</t>
  </si>
  <si>
    <t>MRQPWWKDFTIPDASAIIHQNITIVSIVGEIEVPVSTIDAYERDRLLTGMTLSAQLALGVLTILMVCLLSSSEKRKHPVFVFNSASIVAMCLRAILNIVTICSNSYSILVNYGFILNMVHMYVHVFNILILLLAPVIIFTAEMSMMIQVRIICAHDRKTQRIMTVISACLTVLVLAFWITNMCQQIQYLLWLTPLSSKTIVGYSWPYFIAKILFAFSIIFHSGVFSYKLFRAILIRKKIGQFPFGPMQCILVISCQCLIVPATFTIIDSFIHTYDGFSSMTQCLLIISLPLSSLWASSTALKLQSMKTSSAQGETTEVSIRVDRTFDIKHTPSDDYSISDESETKKWT</t>
  </si>
  <si>
    <t>Q4WYU8_ASPFU</t>
  </si>
  <si>
    <t>MNSTFDPWTQNITLTQSDGTTVVSSLALADDYLHYMIRLGINYGAQLGACAVLFLVLLLLTRPEKRVSSVFVLNVSALLANIIRLGCQLSYFSTGFARMYALLAGDFSRVSRGAYAGQVMASVFFTIVLICVEASLVLQVQVVCSNLLRQYRILLLGASTLAALVPIGVRLTYSVMNCMVIMHAGTMDHLDWLESATNIVTTVSICFFCAVFVVKLGLAIKMRKRLGVKKFGPMRVIFIMGCQTMTIPAVFAICQYFSRIPEFSHNVLTLVIISLPLSSIWAGFALDQANSTARSTESRHHLWNILSSDGATRDKPSQCANSPMTSPNTTCYSEQSTSKPQQDPENGFGISVAHDISIHSFQKGGHGDI</t>
  </si>
  <si>
    <t>Q8NIR1_NEUCS</t>
  </si>
  <si>
    <t>MASSSSPPADIFSGITQSLNSTHATLTLPIPPADRDHLENQVLFLFDNHGQLLNVTTTYIDAFNNMLVSTTINYATQIGATFIMLAIMLLMTPRRRFKRLPTIISLLALCINLIRVVLLALFFPSHWTDFYVLYSGDWQFVPPGDMQISVAATVLSIPVTALLLSALMVQAWSMMQLWTPLWRALVVLVSGLLSLVTVAMSFANCIFQAKNILYADPLPSYWVRKLYLALTTGSISWFTFLFMIRLVMHMWTNRSILPSMKGLKAMDVLIITNSILMLIPVLFAGLEFLDSASGFESGSLTQTSVVIVLPLGTLVAQRIATRGYMPDSLEASSGPNGSLPLSNLSFAGGGGGGSGGHKDKENGGGIIPPTTNNTAATNFSSSIACSGISCLPKVKRMTASSASSSQRPLLTMTNSTIASNDSSGFPSPGIHNTTTTTTQYQYSMGMNMPNFPPVPFPGYQSRTTGVTSHIVSDGRHHQGMNRHPSVDHFDRELARIDDEDDDGYPFASSEKAVMHGDDDDDVERGRRRALPPSLGGVRVERTIETRSEERMPSPDPLGVTKPRSFE</t>
  </si>
  <si>
    <t>Xtal Templ</t>
  </si>
  <si>
    <t>Cl</t>
  </si>
  <si>
    <t>1x36</t>
  </si>
  <si>
    <t>1x411</t>
  </si>
  <si>
    <t>2x551</t>
  </si>
  <si>
    <t>2x581</t>
  </si>
  <si>
    <t>23x501</t>
  </si>
  <si>
    <t>4x491</t>
  </si>
  <si>
    <t>4x52</t>
  </si>
  <si>
    <t>4x56</t>
  </si>
  <si>
    <t>4x57</t>
  </si>
  <si>
    <t>4x58</t>
  </si>
  <si>
    <t>5x411</t>
  </si>
  <si>
    <t>5x421</t>
  </si>
  <si>
    <t>5x431</t>
  </si>
  <si>
    <t>5x461</t>
  </si>
  <si>
    <t>6x461</t>
  </si>
  <si>
    <t>7x44</t>
  </si>
  <si>
    <t>7x521</t>
  </si>
  <si>
    <t>D</t>
  </si>
  <si>
    <t>i1x</t>
  </si>
  <si>
    <t>i1b</t>
  </si>
  <si>
    <t>i1e</t>
  </si>
  <si>
    <t>-</t>
  </si>
  <si>
    <t>i2x</t>
  </si>
  <si>
    <t>i2b</t>
  </si>
  <si>
    <t>i2e</t>
  </si>
  <si>
    <t>e2x</t>
  </si>
  <si>
    <t>e2b</t>
  </si>
  <si>
    <t>e2e</t>
  </si>
  <si>
    <t>i3x</t>
  </si>
  <si>
    <t>i3b</t>
  </si>
  <si>
    <t>i3e</t>
  </si>
  <si>
    <t>e3x</t>
  </si>
  <si>
    <t>e3b</t>
  </si>
  <si>
    <t>e3e</t>
  </si>
  <si>
    <t>8b</t>
  </si>
  <si>
    <t>8x</t>
  </si>
  <si>
    <t>8e</t>
  </si>
  <si>
    <t>placeholder</t>
  </si>
  <si>
    <t>STE2_LACKL</t>
  </si>
  <si>
    <t>MSGKQDLSPLGLYSSYDPTKGLISYTSLYGSGTTVTFEELQIFVNKKITQGILFGTRIGAAGLAIIVLWMVSKNRKTPIFIINQISLFLILLHSSLFLRYLLGDYASVVFNFTLFSQSISRNDVHVYGATNMIQVLLVAAVEISLIFQVRVIFKGDSYKGVGRILTSISAVLGFTTVVMYFITAVKSMTSVYSDLTKTSDRYFFNIASILLSSSVNFMTLLLTVKLILAVRSRRFLGLKQFDSFHVLLIMSFQTLIFPSILFILAYALNPNQGTDTLTSIATLLVTLSLPLSSMWATSANNSSHPSSINTQFRQRNYDDVSFKTGITSFYSESSKPSSKYRHTNNLYDLYPVSRTSNSRCNGYPNDGSKLAPNPNCVGHNGSTMSVNDKNGAHATCVQNNVTLNTDSTLNYSNVDTQDTSKILMTT</t>
  </si>
  <si>
    <t>MEMGYDPRMYNPRNEYLNFTSVYDVNDTIRFSTLDAIVKGLLRIAIVHGVRLGAIFMTLIIMFISSNTWKKPIFIINMVSLMLVMIHSALSFHYLLSNYSSISYILTGFPQLITSNNKRIQDAASIVQVLLVAAIEASLVFQIHVMFTIENIKLIREIVLSISIAMGLATVATYLAAAIKLIRGLHDEVMPQTHLIFNLSIILLASSINFMTFILVIKLFFAIRSRRYLGLRQFDAFHILLIMFCQSLLIPSVLYIIVYAVDSRSNQDYLIPIANLFVVLSLPLSSIWANTSNNSSRSPKYWKNSQTNKSNGSFVSSISVNSDSQNPLYKKIVRFTSKGDTTRSIVSDSTLAEVGKYSMQDVSNSNFECRDLDFEKVKHTCENFGRISETYSELSTLDTTALNETRLFWKQQSQCDK</t>
  </si>
  <si>
    <t>Q6FLY8_CANGA</t>
  </si>
  <si>
    <t>MASNSSNFDPLTQSITILMADGITTVSFTPLDIDFFYYYNVACCINYGAQAGACLLMFFVVVVLTKAVKRKTLLFVLNVLSLIFGFLRAMLYAIYFLQGFNDFYAAFTFDFSRVPRSSYASSVAGSVIPLCMTITVNMSLYLQAYTVCKNLDDIKRIILTTLSAIVALLAIGFRFAATVVNSVAILATSASSVPMQWLVKGTLVTETISIWFFSLIFTGKLVWTLYNRRRNGWRQWSAVRILAAMGGCTMVIPSIFAILEYVTPVSFPEAGSIALTSVALLLPISSLWAGMVTDEETSAIDVSNLTGSRTMLGSQSGNFSRKTHASDITAQSSHLDFSSRKGSNATMMRKGSNAMDQVTTIDCVVEDNQANRGLRDSTEMDLEAMGVRVNKSYGVQKA</t>
  </si>
  <si>
    <t>G2YE05_BOTF4</t>
  </si>
  <si>
    <t>MSGLANNTSYNPLESFIIFTSVYGGDTMVKFEDLQLVFTKRITEGILFGVKVGAASLTMIVMWMISRRRTSPIFIMNQLSLVFTILHASFYFKYLLDGFGSIVYTLTLFPQLITSSDLHVFATANVVEVLLVSSIEASLVFQVNVMFAGSNHRKFAWLLVGFSLGLALATVALYFVTAVKMIASAYASQPPTNPIYFNVSLFLLAASVFLMTLMLTVKLILAIRSRRFLGLKQFDSFHILLIMSCQTLIAPSVLYILGFILDHRKGNDYLITVAQLLVVLSLPLSSMWATTANDASSGTSMSSKESVYGSDSLYSKSKCSQFTRTFMNRFSTKPTKNDEISDSAFVAVDSLEKNAPQGISEHVCEFPQSDLSDQATSISSRKKEAVVYASTVDEDKGSFSSDINGYTVTNMPLASAASANCENSPCHVPRPYEENEGVVETRKIILKKNVKW</t>
  </si>
  <si>
    <t>S6EXB4_ZYGB2</t>
  </si>
  <si>
    <t>MSEINNSTYNPMNAYVTFTSIYGDDTMVRFKDVELVVNKRVTEAIMFGVKVGAASLTLIIMWMISKKRTTPIFIINQSSLVFTIIHASLYFGYLLSGFGSIVYNMTSFPQLISSNDVRVYAATNIFEVLLVASIEISLVFQVKVMFANNNGRRWTWCLMVVSIGMALATVGLYFATAVELIRAAYSNDTVSRHVFYNVSLILLASSVNLMTLMLVVKLVLAIRSRRFLGLKQFDSFHILLIMSCQTLIAPSILFILGWTLDPHTGNEVLITVGQLLIVLSLPLSSMWATTANNTSSSSSSVSCNDSSFGNDNLCSKSSQFRRTFMNRFRPKSVNGDGNSENTFVTIDDLEKSVFQELSTPVSGESKIDHDHASSISCQKTCNHVHASTVNSDKGSWSSDGSCGSSPLRKTSTVNSEDLPPHILSAYDDDRGIVESKKIILKKL</t>
  </si>
  <si>
    <t>C5DX97_ZYGRC</t>
  </si>
  <si>
    <t>D1S1b</t>
  </si>
  <si>
    <t>D1S1e</t>
  </si>
  <si>
    <t>D1T1b</t>
  </si>
  <si>
    <t>D1T1e</t>
  </si>
  <si>
    <t>D1S2b</t>
  </si>
  <si>
    <t>D1S2e</t>
  </si>
  <si>
    <t>D1S1x</t>
  </si>
  <si>
    <t>D1T1x</t>
  </si>
  <si>
    <t>D1S2x</t>
  </si>
  <si>
    <t>D1e1b</t>
  </si>
  <si>
    <t>D1e1e</t>
  </si>
  <si>
    <t>D1e1x</t>
  </si>
  <si>
    <t>7AD3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</si>
</sst>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0"/>
      <color rgb="FF000000"/>
      <name val="Arial Unicode MS"/>
      <family val="2"/>
    </font>
    <font>
      <sz val="12"/>
      <color rgb="FF454545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5" fillId="0" borderId="0" xfId="0" applyFont="1"/>
    <xf numFmtId="0" fontId="2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1" xfId="0" applyBorder="1"/>
    <xf numFmtId="0" fontId="2" fillId="2" borderId="1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/>
    <xf numFmtId="0" fontId="7" fillId="0" borderId="0" xfId="0" applyFont="1"/>
    <xf numFmtId="0" fontId="8" fillId="0" borderId="0" xfId="0" applyFont="1"/>
    <xf numFmtId="0" fontId="0" fillId="3" borderId="0" xfId="0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"/>
  <sheetViews>
    <sheetView tabSelected="1" workbookViewId="0">
      <selection activeCell="C4" sqref="C4"/>
    </sheetView>
  </sheetViews>
  <sheetFormatPr baseColWidth="10" defaultRowHeight="16" x14ac:dyDescent="0.2"/>
  <cols>
    <col min="1" max="1" width="15" bestFit="1" customWidth="1"/>
    <col min="4" max="4" width="2.33203125" bestFit="1" customWidth="1"/>
    <col min="5" max="5" width="6.33203125" bestFit="1" customWidth="1"/>
    <col min="6" max="6" width="2" bestFit="1" customWidth="1"/>
    <col min="7" max="7" width="6.33203125" bestFit="1" customWidth="1"/>
    <col min="8" max="8" width="1.6640625" bestFit="1" customWidth="1"/>
    <col min="9" max="9" width="6.33203125" bestFit="1" customWidth="1"/>
    <col min="10" max="10" width="2" bestFit="1" customWidth="1"/>
    <col min="11" max="11" width="6.33203125" bestFit="1" customWidth="1"/>
    <col min="12" max="12" width="2.33203125" bestFit="1" customWidth="1"/>
    <col min="13" max="13" width="6.33203125" bestFit="1" customWidth="1"/>
    <col min="14" max="14" width="1.6640625" bestFit="1" customWidth="1"/>
    <col min="15" max="15" width="6.33203125" bestFit="1" customWidth="1"/>
    <col min="16" max="16" width="2" bestFit="1" customWidth="1"/>
    <col min="17" max="17" width="3.1640625" bestFit="1" customWidth="1"/>
    <col min="18" max="18" width="2" bestFit="1" customWidth="1"/>
    <col min="19" max="19" width="3.1640625" bestFit="1" customWidth="1"/>
    <col min="20" max="20" width="2" customWidth="1"/>
    <col min="21" max="21" width="3.1640625" customWidth="1"/>
    <col min="22" max="22" width="1.83203125" customWidth="1"/>
    <col min="23" max="23" width="3.1640625" customWidth="1"/>
    <col min="24" max="24" width="2" bestFit="1" customWidth="1"/>
    <col min="25" max="25" width="3.1640625" bestFit="1" customWidth="1"/>
    <col min="26" max="26" width="2" bestFit="1" customWidth="1"/>
    <col min="27" max="27" width="4.1640625" bestFit="1" customWidth="1"/>
    <col min="28" max="28" width="2" customWidth="1"/>
    <col min="29" max="29" width="6.33203125" bestFit="1" customWidth="1"/>
    <col min="30" max="30" width="1.83203125" customWidth="1"/>
    <col min="31" max="31" width="6.33203125" bestFit="1" customWidth="1"/>
    <col min="32" max="32" width="2.1640625" bestFit="1" customWidth="1"/>
    <col min="33" max="33" width="4.1640625" bestFit="1" customWidth="1"/>
    <col min="34" max="34" width="2" bestFit="1" customWidth="1"/>
    <col min="35" max="35" width="4.1640625" bestFit="1" customWidth="1"/>
    <col min="36" max="36" width="2.1640625" customWidth="1"/>
    <col min="37" max="37" width="3.6640625" bestFit="1" customWidth="1"/>
    <col min="38" max="38" width="1.83203125" customWidth="1"/>
    <col min="39" max="39" width="3.5" bestFit="1" customWidth="1"/>
    <col min="40" max="40" width="2.1640625" bestFit="1" customWidth="1"/>
    <col min="41" max="41" width="4.1640625" bestFit="1" customWidth="1"/>
    <col min="42" max="42" width="2.33203125" bestFit="1" customWidth="1"/>
    <col min="43" max="43" width="4.1640625" bestFit="1" customWidth="1"/>
    <col min="44" max="44" width="1.83203125" customWidth="1"/>
    <col min="45" max="45" width="4.1640625" customWidth="1"/>
    <col min="46" max="46" width="2" customWidth="1"/>
    <col min="47" max="47" width="4.1640625" customWidth="1"/>
    <col min="48" max="48" width="2.33203125" bestFit="1" customWidth="1"/>
    <col min="49" max="49" width="4.1640625" bestFit="1" customWidth="1"/>
    <col min="50" max="50" width="2" bestFit="1" customWidth="1"/>
    <col min="51" max="51" width="4.1640625" bestFit="1" customWidth="1"/>
    <col min="52" max="52" width="2" customWidth="1"/>
    <col min="53" max="53" width="3.6640625" bestFit="1" customWidth="1"/>
    <col min="54" max="54" width="1.83203125" customWidth="1"/>
    <col min="55" max="55" width="3.5" bestFit="1" customWidth="1"/>
    <col min="56" max="56" width="2.33203125" bestFit="1" customWidth="1"/>
    <col min="57" max="57" width="4.1640625" bestFit="1" customWidth="1"/>
    <col min="58" max="58" width="2" bestFit="1" customWidth="1"/>
    <col min="59" max="59" width="4.1640625" bestFit="1" customWidth="1"/>
    <col min="60" max="60" width="2" customWidth="1"/>
    <col min="61" max="61" width="4.1640625" customWidth="1"/>
    <col min="62" max="62" width="1.83203125" customWidth="1"/>
    <col min="63" max="63" width="4.1640625" customWidth="1"/>
    <col min="64" max="64" width="2.1640625" bestFit="1" customWidth="1"/>
    <col min="65" max="65" width="4.1640625" bestFit="1" customWidth="1"/>
    <col min="66" max="66" width="2.33203125" bestFit="1" customWidth="1"/>
    <col min="67" max="67" width="4.1640625" bestFit="1" customWidth="1"/>
    <col min="68" max="71" width="2.33203125" customWidth="1"/>
  </cols>
  <sheetData>
    <row r="1" spans="1:72" x14ac:dyDescent="0.2">
      <c r="A1" t="s">
        <v>29</v>
      </c>
      <c r="B1" t="s">
        <v>0</v>
      </c>
      <c r="C1" t="s">
        <v>1</v>
      </c>
      <c r="E1" t="s">
        <v>93</v>
      </c>
      <c r="G1" t="s">
        <v>94</v>
      </c>
      <c r="I1" t="s">
        <v>95</v>
      </c>
      <c r="K1" t="s">
        <v>96</v>
      </c>
      <c r="M1" t="s">
        <v>97</v>
      </c>
      <c r="O1" t="s">
        <v>98</v>
      </c>
      <c r="Q1" t="s">
        <v>2</v>
      </c>
      <c r="S1" t="s">
        <v>3</v>
      </c>
      <c r="U1" t="s">
        <v>64</v>
      </c>
      <c r="W1" t="s">
        <v>65</v>
      </c>
      <c r="Y1" t="s">
        <v>4</v>
      </c>
      <c r="AA1" t="s">
        <v>5</v>
      </c>
      <c r="AC1" t="s">
        <v>102</v>
      </c>
      <c r="AE1" t="s">
        <v>103</v>
      </c>
      <c r="AG1" t="s">
        <v>6</v>
      </c>
      <c r="AI1" t="s">
        <v>7</v>
      </c>
      <c r="AK1" t="s">
        <v>68</v>
      </c>
      <c r="AM1" t="s">
        <v>69</v>
      </c>
      <c r="AO1" t="s">
        <v>8</v>
      </c>
      <c r="AQ1" t="s">
        <v>9</v>
      </c>
      <c r="AS1" t="s">
        <v>71</v>
      </c>
      <c r="AU1" t="s">
        <v>72</v>
      </c>
      <c r="AW1" t="s">
        <v>10</v>
      </c>
      <c r="AY1" t="s">
        <v>11</v>
      </c>
      <c r="BA1" t="s">
        <v>74</v>
      </c>
      <c r="BC1" t="s">
        <v>75</v>
      </c>
      <c r="BE1" t="s">
        <v>12</v>
      </c>
      <c r="BG1" t="s">
        <v>13</v>
      </c>
      <c r="BI1" t="s">
        <v>77</v>
      </c>
      <c r="BK1" t="s">
        <v>78</v>
      </c>
      <c r="BM1" t="s">
        <v>14</v>
      </c>
      <c r="BO1" t="s">
        <v>15</v>
      </c>
      <c r="BQ1" t="s">
        <v>79</v>
      </c>
      <c r="BS1" t="s">
        <v>81</v>
      </c>
      <c r="BT1" t="s">
        <v>82</v>
      </c>
    </row>
    <row r="2" spans="1:72" x14ac:dyDescent="0.2">
      <c r="A2" t="str">
        <f>CONCATENATE(B2,"_",C2)</f>
        <v>ste2_yeast__wt</v>
      </c>
      <c r="B2" t="s">
        <v>17</v>
      </c>
      <c r="C2" t="s">
        <v>16</v>
      </c>
      <c r="D2" t="str">
        <f>IFERROR(MID(VLOOKUP($B2,Seqs!$A:$C,3,0),E2,1),"")</f>
        <v>N</v>
      </c>
      <c r="E2">
        <v>18</v>
      </c>
      <c r="F2" t="str">
        <f>IFERROR(MID(VLOOKUP($B2,Seqs!$A:$C,3,0),G2,1),"")</f>
        <v>S</v>
      </c>
      <c r="G2">
        <v>28</v>
      </c>
      <c r="H2" t="str">
        <f>IFERROR(MID(VLOOKUP($B2,Seqs!$A:$C,3,0),I2,1),"")</f>
        <v>I</v>
      </c>
      <c r="I2">
        <v>29</v>
      </c>
      <c r="J2" t="str">
        <f>IFERROR(MID(VLOOKUP($B2,Seqs!$A:$C,3,0),K2,1),"")</f>
        <v>Y</v>
      </c>
      <c r="K2">
        <v>30</v>
      </c>
      <c r="L2" t="str">
        <f>IFERROR(MID(VLOOKUP($B2,Seqs!$A:$C,3,0),M2,1),"")</f>
        <v>G</v>
      </c>
      <c r="M2">
        <v>31</v>
      </c>
      <c r="N2" t="str">
        <f>IFERROR(MID(VLOOKUP($B2,Seqs!$A:$C,3,0),O2,1),"")</f>
        <v>I</v>
      </c>
      <c r="O2">
        <v>36</v>
      </c>
      <c r="P2" t="str">
        <f>IFERROR(MID(VLOOKUP($B2,Seqs!$A:$C,3,0),Q2,1),"")</f>
        <v>T</v>
      </c>
      <c r="Q2">
        <v>37</v>
      </c>
      <c r="R2" t="str">
        <f>IFERROR(MID(VLOOKUP($B2,Seqs!$A:$C,3,0),S2,1),"")</f>
        <v>T</v>
      </c>
      <c r="S2">
        <v>72</v>
      </c>
      <c r="U2" t="s">
        <v>66</v>
      </c>
      <c r="W2" t="s">
        <v>66</v>
      </c>
      <c r="X2" t="str">
        <f>IFERROR(MID(VLOOKUP($B2,Seqs!$A:$C,3,0),Y2,1),"")</f>
        <v>T</v>
      </c>
      <c r="Y2">
        <v>78</v>
      </c>
      <c r="Z2" t="str">
        <f>IFERROR(MID(VLOOKUP($B2,Seqs!$A:$C,3,0),AA2,1),"")</f>
        <v>S</v>
      </c>
      <c r="AA2">
        <v>104</v>
      </c>
      <c r="AB2" t="str">
        <f>IFERROR(MID(VLOOKUP($B2,Seqs!$A:$C,3,0),AC2,1),"")</f>
        <v>N</v>
      </c>
      <c r="AC2">
        <v>105</v>
      </c>
      <c r="AD2" t="str">
        <f>IFERROR(MID(VLOOKUP($B2,Seqs!$A:$C,3,0),AE2,1),"")</f>
        <v>I</v>
      </c>
      <c r="AE2">
        <v>120</v>
      </c>
      <c r="AF2" t="str">
        <f>IFERROR(MID(VLOOKUP($B2,Seqs!$A:$C,3,0),AG2,1),"")</f>
        <v>S</v>
      </c>
      <c r="AG2">
        <v>121</v>
      </c>
      <c r="AH2" t="str">
        <f>IFERROR(MID(VLOOKUP($B2,Seqs!$A:$C,3,0),AI2,1),"")</f>
        <v>T</v>
      </c>
      <c r="AI2">
        <v>155</v>
      </c>
      <c r="AK2" t="s">
        <v>66</v>
      </c>
      <c r="AM2" t="s">
        <v>66</v>
      </c>
      <c r="AN2" t="str">
        <f>IFERROR(MID(VLOOKUP($B2,Seqs!$A:$C,3,0),AO2,1),"")</f>
        <v>R</v>
      </c>
      <c r="AO2">
        <v>161</v>
      </c>
      <c r="AP2" t="str">
        <f>IFERROR(MID(VLOOKUP($B2,Seqs!$A:$C,3,0),AQ2,1),"")</f>
        <v>D</v>
      </c>
      <c r="AQ2">
        <v>195</v>
      </c>
      <c r="AS2" t="s">
        <v>66</v>
      </c>
      <c r="AU2" t="s">
        <v>66</v>
      </c>
      <c r="AV2" t="str">
        <f>IFERROR(MID(VLOOKUP($B2,Seqs!$A:$C,3,0),AW2,1),"")</f>
        <v>D</v>
      </c>
      <c r="AW2">
        <v>201</v>
      </c>
      <c r="AX2" t="str">
        <f>IFERROR(MID(VLOOKUP($B2,Seqs!$A:$C,3,0),AY2,1),"")</f>
        <v>L</v>
      </c>
      <c r="AY2">
        <v>236</v>
      </c>
      <c r="BA2" t="s">
        <v>66</v>
      </c>
      <c r="BC2" t="s">
        <v>66</v>
      </c>
      <c r="BD2" t="str">
        <f>IFERROR(MID(VLOOKUP($B2,Seqs!$A:$C,3,0),BE2,1),"")</f>
        <v>D</v>
      </c>
      <c r="BE2">
        <v>242</v>
      </c>
      <c r="BF2" t="str">
        <f>IFERROR(MID(VLOOKUP($B2,Seqs!$A:$C,3,0),BG2,1),"")</f>
        <v>L</v>
      </c>
      <c r="BG2">
        <v>268</v>
      </c>
      <c r="BI2" t="s">
        <v>66</v>
      </c>
      <c r="BK2" t="s">
        <v>66</v>
      </c>
      <c r="BL2" t="str">
        <f>IFERROR(MID(VLOOKUP($B2,Seqs!$A:$C,3,0),BM2,1),"")</f>
        <v>V</v>
      </c>
      <c r="BM2">
        <v>276</v>
      </c>
      <c r="BN2" t="str">
        <f>IFERROR(MID(VLOOKUP($B2,Seqs!$A:$C,3,0),BO2,1),"")</f>
        <v>N</v>
      </c>
      <c r="BO2">
        <v>306</v>
      </c>
      <c r="BP2" t="str">
        <f>IFERROR(MID(VLOOKUP($B2,Seqs!$A:$C,3,0),BQ2,1),"")</f>
        <v/>
      </c>
      <c r="BQ2" t="s">
        <v>66</v>
      </c>
      <c r="BR2" t="str">
        <f>IFERROR(MID(VLOOKUP($B2,Seqs!$A:$C,3,0),BS2,1),"")</f>
        <v/>
      </c>
      <c r="BS2" t="s">
        <v>66</v>
      </c>
    </row>
    <row r="3" spans="1:72" x14ac:dyDescent="0.2">
      <c r="A3" t="str">
        <f>CONCATENATE(B3,"_",C3)</f>
        <v>ste2_yeast_7AD3</v>
      </c>
      <c r="B3" t="s">
        <v>17</v>
      </c>
      <c r="C3" t="s">
        <v>105</v>
      </c>
      <c r="D3" t="str">
        <f>IFERROR(MID(VLOOKUP($B3,Seqs!$A:$C,3,0),E3,1),"")</f>
        <v>N</v>
      </c>
      <c r="E3">
        <v>18</v>
      </c>
      <c r="F3" t="str">
        <f>IFERROR(MID(VLOOKUP($B3,Seqs!$A:$C,3,0),G3,1),"")</f>
        <v>S</v>
      </c>
      <c r="G3">
        <v>28</v>
      </c>
      <c r="H3" t="str">
        <f>IFERROR(MID(VLOOKUP($B3,Seqs!$A:$C,3,0),I3,1),"")</f>
        <v>I</v>
      </c>
      <c r="I3">
        <v>29</v>
      </c>
      <c r="J3" t="str">
        <f>IFERROR(MID(VLOOKUP($B3,Seqs!$A:$C,3,0),K3,1),"")</f>
        <v>Y</v>
      </c>
      <c r="K3">
        <v>30</v>
      </c>
      <c r="L3" t="str">
        <f>IFERROR(MID(VLOOKUP($B3,Seqs!$A:$C,3,0),M3,1),"")</f>
        <v>G</v>
      </c>
      <c r="M3">
        <v>31</v>
      </c>
      <c r="N3" t="str">
        <f>IFERROR(MID(VLOOKUP($B3,Seqs!$A:$C,3,0),O3,1),"")</f>
        <v>I</v>
      </c>
      <c r="O3">
        <v>36</v>
      </c>
      <c r="P3" t="str">
        <f>IFERROR(MID(VLOOKUP($B3,Seqs!$A:$C,3,0),Q3,1),"")</f>
        <v>T</v>
      </c>
      <c r="Q3">
        <v>37</v>
      </c>
      <c r="R3" t="str">
        <f>IFERROR(MID(VLOOKUP($B3,Seqs!$A:$C,3,0),S3,1),"")</f>
        <v>T</v>
      </c>
      <c r="S3">
        <v>72</v>
      </c>
      <c r="U3" t="s">
        <v>66</v>
      </c>
      <c r="W3" t="s">
        <v>66</v>
      </c>
      <c r="X3" t="str">
        <f>IFERROR(MID(VLOOKUP($B3,Seqs!$A:$C,3,0),Y3,1),"")</f>
        <v>T</v>
      </c>
      <c r="Y3">
        <v>78</v>
      </c>
      <c r="Z3" t="str">
        <f>IFERROR(MID(VLOOKUP($B3,Seqs!$A:$C,3,0),AA3,1),"")</f>
        <v>S</v>
      </c>
      <c r="AA3">
        <v>104</v>
      </c>
      <c r="AB3" t="str">
        <f>IFERROR(MID(VLOOKUP($B3,Seqs!$A:$C,3,0),AC3,1),"")</f>
        <v>N</v>
      </c>
      <c r="AC3">
        <v>105</v>
      </c>
      <c r="AD3" t="str">
        <f>IFERROR(MID(VLOOKUP($B3,Seqs!$A:$C,3,0),AE3,1),"")</f>
        <v>I</v>
      </c>
      <c r="AE3">
        <v>120</v>
      </c>
      <c r="AF3" t="str">
        <f>IFERROR(MID(VLOOKUP($B3,Seqs!$A:$C,3,0),AG3,1),"")</f>
        <v>S</v>
      </c>
      <c r="AG3">
        <v>121</v>
      </c>
      <c r="AH3" t="str">
        <f>IFERROR(MID(VLOOKUP($B3,Seqs!$A:$C,3,0),AI3,1),"")</f>
        <v>T</v>
      </c>
      <c r="AI3">
        <v>155</v>
      </c>
      <c r="AK3" t="s">
        <v>66</v>
      </c>
      <c r="AM3" t="s">
        <v>66</v>
      </c>
      <c r="AN3" t="str">
        <f>IFERROR(MID(VLOOKUP($B3,Seqs!$A:$C,3,0),AO3,1),"")</f>
        <v>R</v>
      </c>
      <c r="AO3">
        <v>161</v>
      </c>
      <c r="AP3" t="str">
        <f>IFERROR(MID(VLOOKUP($B3,Seqs!$A:$C,3,0),AQ3,1),"")</f>
        <v>D</v>
      </c>
      <c r="AQ3">
        <v>195</v>
      </c>
      <c r="AS3" t="s">
        <v>66</v>
      </c>
      <c r="AU3" t="s">
        <v>66</v>
      </c>
      <c r="AV3" t="str">
        <f>IFERROR(MID(VLOOKUP($B3,Seqs!$A:$C,3,0),AW3,1),"")</f>
        <v>D</v>
      </c>
      <c r="AW3">
        <v>201</v>
      </c>
      <c r="AX3" t="str">
        <f>IFERROR(MID(VLOOKUP($B3,Seqs!$A:$C,3,0),AY3,1),"")</f>
        <v>L</v>
      </c>
      <c r="AY3">
        <v>236</v>
      </c>
      <c r="BA3" t="s">
        <v>66</v>
      </c>
      <c r="BC3" t="s">
        <v>66</v>
      </c>
      <c r="BD3" t="str">
        <f>IFERROR(MID(VLOOKUP($B3,Seqs!$A:$C,3,0),BE3,1),"")</f>
        <v>D</v>
      </c>
      <c r="BE3">
        <v>242</v>
      </c>
      <c r="BF3" t="str">
        <f>IFERROR(MID(VLOOKUP($B3,Seqs!$A:$C,3,0),BG3,1),"")</f>
        <v>L</v>
      </c>
      <c r="BG3">
        <v>268</v>
      </c>
      <c r="BI3" t="s">
        <v>66</v>
      </c>
      <c r="BK3" t="s">
        <v>66</v>
      </c>
      <c r="BL3" t="str">
        <f>IFERROR(MID(VLOOKUP($B3,Seqs!$A:$C,3,0),BM3,1),"")</f>
        <v>V</v>
      </c>
      <c r="BM3">
        <v>276</v>
      </c>
      <c r="BN3" t="str">
        <f>IFERROR(MID(VLOOKUP($B3,Seqs!$A:$C,3,0),BO3,1),"")</f>
        <v>N</v>
      </c>
      <c r="BO3">
        <v>306</v>
      </c>
      <c r="BP3" t="str">
        <f>IFERROR(MID(VLOOKUP($B3,Seqs!$A:$C,3,0),BQ3,1),"")</f>
        <v/>
      </c>
      <c r="BQ3" t="s">
        <v>66</v>
      </c>
      <c r="BR3" t="str">
        <f>IFERROR(MID(VLOOKUP($B3,Seqs!$A:$C,3,0),BS3,1),"")</f>
        <v/>
      </c>
      <c r="BS3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selection activeCell="P3" sqref="P3"/>
    </sheetView>
  </sheetViews>
  <sheetFormatPr baseColWidth="10" defaultRowHeight="16" x14ac:dyDescent="0.2"/>
  <cols>
    <col min="1" max="1" width="14" bestFit="1" customWidth="1"/>
    <col min="3" max="8" width="6.33203125" bestFit="1" customWidth="1"/>
    <col min="9" max="10" width="3.1640625" bestFit="1" customWidth="1"/>
    <col min="11" max="12" width="3.1640625" customWidth="1"/>
    <col min="13" max="14" width="3.1640625" bestFit="1" customWidth="1"/>
    <col min="15" max="16" width="6.33203125" bestFit="1" customWidth="1"/>
    <col min="17" max="18" width="3.1640625" bestFit="1" customWidth="1"/>
    <col min="19" max="20" width="3.1640625" customWidth="1"/>
    <col min="21" max="22" width="3.1640625" bestFit="1" customWidth="1"/>
    <col min="23" max="25" width="4.1640625" bestFit="1" customWidth="1"/>
    <col min="26" max="26" width="3.1640625" bestFit="1" customWidth="1"/>
    <col min="27" max="28" width="3.1640625" customWidth="1"/>
    <col min="29" max="30" width="3.1640625" bestFit="1" customWidth="1"/>
    <col min="31" max="33" width="4.1640625" bestFit="1" customWidth="1"/>
    <col min="34" max="34" width="3.1640625" bestFit="1" customWidth="1"/>
  </cols>
  <sheetData>
    <row r="1" spans="1:34" x14ac:dyDescent="0.2">
      <c r="A1" t="s">
        <v>29</v>
      </c>
      <c r="B1" t="s">
        <v>0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2</v>
      </c>
      <c r="J1" t="s">
        <v>3</v>
      </c>
      <c r="K1" t="s">
        <v>64</v>
      </c>
      <c r="L1" t="s">
        <v>65</v>
      </c>
      <c r="M1" t="s">
        <v>4</v>
      </c>
      <c r="N1" t="s">
        <v>5</v>
      </c>
      <c r="O1" t="s">
        <v>102</v>
      </c>
      <c r="P1" t="s">
        <v>103</v>
      </c>
      <c r="Q1" t="s">
        <v>6</v>
      </c>
      <c r="R1" t="s">
        <v>7</v>
      </c>
      <c r="S1" t="s">
        <v>68</v>
      </c>
      <c r="T1" t="s">
        <v>69</v>
      </c>
      <c r="U1" t="s">
        <v>8</v>
      </c>
      <c r="V1" t="s">
        <v>9</v>
      </c>
      <c r="W1" t="s">
        <v>71</v>
      </c>
      <c r="X1" t="s">
        <v>72</v>
      </c>
      <c r="Y1" t="s">
        <v>10</v>
      </c>
      <c r="Z1" t="s">
        <v>11</v>
      </c>
      <c r="AA1" t="s">
        <v>74</v>
      </c>
      <c r="AB1" t="s">
        <v>75</v>
      </c>
      <c r="AC1" t="s">
        <v>12</v>
      </c>
      <c r="AD1" t="s">
        <v>13</v>
      </c>
      <c r="AE1" t="s">
        <v>77</v>
      </c>
      <c r="AF1" t="s">
        <v>78</v>
      </c>
      <c r="AG1" t="s">
        <v>14</v>
      </c>
      <c r="AH1" t="s">
        <v>15</v>
      </c>
    </row>
    <row r="2" spans="1:34" x14ac:dyDescent="0.2">
      <c r="A2" t="str">
        <f>CONCATENATE(B2,"__wt")</f>
        <v>ste2_yeast__wt</v>
      </c>
      <c r="B2" t="s">
        <v>17</v>
      </c>
      <c r="C2">
        <f>IFERROR(50+VLOOKUP($A2,'SegEnds_Xtal_Prot#'!$A:$CN,5,FALSE)-VLOOKUP($B2,'SegEnds_NonXtal_Prot#'!$B:$BX,4,FALSE),"-")</f>
        <v>49</v>
      </c>
      <c r="D2">
        <f>IFERROR(50+VLOOKUP($A2,'SegEnds_Xtal_Prot#'!$A:$CN,7,FALSE)-VLOOKUP($B2,'SegEnds_NonXtal_Prot#'!$B:$BX,4,FALSE),"-")</f>
        <v>59</v>
      </c>
      <c r="E2">
        <f>IFERROR(50+VLOOKUP($A2,'SegEnds_Xtal_Prot#'!$A:$CN,9,FALSE)-VLOOKUP($B2,'SegEnds_NonXtal_Prot#'!$B:$BX,7,FALSE),"-")</f>
        <v>49</v>
      </c>
      <c r="F2">
        <f>IFERROR(50+VLOOKUP($A2,'SegEnds_Xtal_Prot#'!$A:$CN,11,FALSE)-VLOOKUP($B2,'SegEnds_NonXtal_Prot#'!$B:$BX,7,FALSE),"-")</f>
        <v>50</v>
      </c>
      <c r="G2">
        <f>IFERROR(50+VLOOKUP($A2,'SegEnds_Xtal_Prot#'!$A:$CN,13,FALSE)-VLOOKUP($B2,'SegEnds_NonXtal_Prot#'!$B:$BX,10,FALSE),"-")</f>
        <v>50</v>
      </c>
      <c r="H2">
        <f>IFERROR(50+VLOOKUP($A2,'SegEnds_Xtal_Prot#'!$A:$CN,15,FALSE)-VLOOKUP($B2,'SegEnds_NonXtal_Prot#'!$B:$BX,10,FALSE),"-")</f>
        <v>55</v>
      </c>
      <c r="I2">
        <f>IFERROR(50+VLOOKUP($A2,'SegEnds_Xtal_Prot#'!$A:$CN,17,FALSE)-VLOOKUP($B2,'SegEnds_NonXtal_Prot#'!$B:$BX,13,FALSE),"-")</f>
        <v>25</v>
      </c>
      <c r="J2">
        <f>IFERROR(50+VLOOKUP($A2,'SegEnds_Xtal_Prot#'!$A:$CN,19,FALSE)-VLOOKUP($B2,'SegEnds_NonXtal_Prot#'!$B:$BX,13,FALSE),"-")</f>
        <v>60</v>
      </c>
      <c r="K2" t="s">
        <v>66</v>
      </c>
      <c r="L2" t="s">
        <v>66</v>
      </c>
      <c r="M2">
        <f>IFERROR(50+VLOOKUP($A2,'SegEnds_Xtal_Prot#'!$A:$CN,25,FALSE)-VLOOKUP($B2,'SegEnds_NonXtal_Prot#'!$B:$BX,19,FALSE),"-")</f>
        <v>37</v>
      </c>
      <c r="N2">
        <f>IFERROR(50+VLOOKUP($A2,'SegEnds_Xtal_Prot#'!$A:$CN,27,FALSE)-VLOOKUP($B2,'SegEnds_NonXtal_Prot#'!$B:$BX,19,FALSE),"-")</f>
        <v>63</v>
      </c>
      <c r="O2">
        <f>IFERROR(50+VLOOKUP($A2,'SegEnds_Xtal_Prot#'!$A:$CN,29,FALSE)-VLOOKUP($B2,'SegEnds_NonXtal_Prot#'!$B:$BX,22,FALSE),"-")</f>
        <v>45</v>
      </c>
      <c r="P2">
        <f>IFERROR(50+VLOOKUP($A2,'SegEnds_Xtal_Prot#'!$A:$CN,31,FALSE)-VLOOKUP($B2,'SegEnds_NonXtal_Prot#'!$B:$BX,22,FALSE),"-")</f>
        <v>60</v>
      </c>
      <c r="Q2">
        <f>IFERROR(50+VLOOKUP($A2,'SegEnds_Xtal_Prot#'!$A:$CN,33,FALSE)-VLOOKUP($B2,'SegEnds_NonXtal_Prot#'!$B:$BX,25,FALSE),"-")</f>
        <v>22</v>
      </c>
      <c r="R2">
        <f>IFERROR(50+VLOOKUP($A2,'SegEnds_Xtal_Prot#'!$A:$CN,35,FALSE)-VLOOKUP($B2,'SegEnds_NonXtal_Prot#'!$B:$BX,25,FALSE),"-")</f>
        <v>56</v>
      </c>
      <c r="S2" t="s">
        <v>66</v>
      </c>
      <c r="T2" t="s">
        <v>66</v>
      </c>
      <c r="U2">
        <f>IFERROR(50+VLOOKUP($A2,'SegEnds_Xtal_Prot#'!$A:$CN,41,FALSE)-VLOOKUP($B2,'SegEnds_NonXtal_Prot#'!$B:$BX,31,FALSE),"-")</f>
        <v>33</v>
      </c>
      <c r="V2">
        <f>IFERROR(50+VLOOKUP($A2,'SegEnds_Xtal_Prot#'!$A:$CN,43,FALSE)-VLOOKUP($B2,'SegEnds_NonXtal_Prot#'!$B:$BX,31,FALSE),"-")</f>
        <v>67</v>
      </c>
      <c r="W2" t="s">
        <v>66</v>
      </c>
      <c r="X2" t="s">
        <v>66</v>
      </c>
      <c r="Y2">
        <f>IFERROR(50+VLOOKUP($A2,'SegEnds_Xtal_Prot#'!$A:$CN,49,FALSE)-VLOOKUP($B2,'SegEnds_NonXtal_Prot#'!$B:$BX,37,FALSE),"-")</f>
        <v>40</v>
      </c>
      <c r="Z2">
        <f>IFERROR(50+VLOOKUP($A2,'SegEnds_Xtal_Prot#'!$A:$CN,51,FALSE)-VLOOKUP($B2,'SegEnds_NonXtal_Prot#'!$B:$BX,37,FALSE),"-")</f>
        <v>75</v>
      </c>
      <c r="AA2" t="s">
        <v>66</v>
      </c>
      <c r="AB2" t="s">
        <v>66</v>
      </c>
      <c r="AC2">
        <f>IFERROR(50+VLOOKUP($A2,'SegEnds_Xtal_Prot#'!$A:$CN,57,FALSE)-VLOOKUP($B2,'SegEnds_NonXtal_Prot#'!$B:$BX,43,FALSE),"-")</f>
        <v>28</v>
      </c>
      <c r="AD2">
        <f>IFERROR(50+VLOOKUP($A2,'SegEnds_Xtal_Prot#'!$A:$CN,59,FALSE)-VLOOKUP($B2,'SegEnds_NonXtal_Prot#'!$B:$BX,43,FALSE),"-")</f>
        <v>54</v>
      </c>
      <c r="AE2" t="s">
        <v>66</v>
      </c>
      <c r="AF2" t="s">
        <v>66</v>
      </c>
      <c r="AG2">
        <f>IFERROR(50+VLOOKUP($A2,'SegEnds_Xtal_Prot#'!$A:$CN,65,FALSE)-VLOOKUP($B2,'SegEnds_NonXtal_Prot#'!$B:$BX,49,FALSE),"-")</f>
        <v>39</v>
      </c>
      <c r="AH2">
        <f>IFERROR(50+VLOOKUP($A2,'SegEnds_Xtal_Prot#'!$A:$CN,67,FALSE)-VLOOKUP($B2,'SegEnds_NonXtal_Prot#'!$B:$BX,49,FALSE),"-")</f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"/>
  <sheetViews>
    <sheetView workbookViewId="0">
      <selection activeCell="O20" sqref="O20"/>
    </sheetView>
  </sheetViews>
  <sheetFormatPr baseColWidth="10" defaultRowHeight="16" x14ac:dyDescent="0.2"/>
  <cols>
    <col min="1" max="1" width="19.5" bestFit="1" customWidth="1"/>
    <col min="3" max="8" width="6.33203125" bestFit="1" customWidth="1"/>
    <col min="9" max="10" width="3.1640625" bestFit="1" customWidth="1"/>
    <col min="11" max="12" width="3.1640625" customWidth="1"/>
    <col min="13" max="14" width="3.1640625" bestFit="1" customWidth="1"/>
    <col min="15" max="16" width="6.33203125" bestFit="1" customWidth="1"/>
    <col min="17" max="18" width="3.1640625" bestFit="1" customWidth="1"/>
    <col min="19" max="20" width="3.1640625" customWidth="1"/>
    <col min="21" max="22" width="3.1640625" bestFit="1" customWidth="1"/>
    <col min="23" max="24" width="4.1640625" bestFit="1" customWidth="1"/>
    <col min="25" max="26" width="3.1640625" bestFit="1" customWidth="1"/>
    <col min="27" max="27" width="3.6640625" bestFit="1" customWidth="1"/>
    <col min="28" max="28" width="3.5" bestFit="1" customWidth="1"/>
    <col min="29" max="30" width="3.1640625" bestFit="1" customWidth="1"/>
    <col min="31" max="32" width="4.1640625" bestFit="1" customWidth="1"/>
    <col min="33" max="34" width="3.1640625" bestFit="1" customWidth="1"/>
  </cols>
  <sheetData>
    <row r="1" spans="1:34" x14ac:dyDescent="0.2">
      <c r="A1" t="s">
        <v>0</v>
      </c>
      <c r="B1" t="s">
        <v>30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2</v>
      </c>
      <c r="J1" t="s">
        <v>3</v>
      </c>
      <c r="K1" t="s">
        <v>64</v>
      </c>
      <c r="L1" t="s">
        <v>65</v>
      </c>
      <c r="M1" t="s">
        <v>4</v>
      </c>
      <c r="N1" t="s">
        <v>5</v>
      </c>
      <c r="O1" t="s">
        <v>102</v>
      </c>
      <c r="P1" t="s">
        <v>103</v>
      </c>
      <c r="Q1" t="s">
        <v>6</v>
      </c>
      <c r="R1" t="s">
        <v>7</v>
      </c>
      <c r="S1" t="s">
        <v>68</v>
      </c>
      <c r="T1" t="s">
        <v>69</v>
      </c>
      <c r="U1" t="s">
        <v>8</v>
      </c>
      <c r="V1" t="s">
        <v>9</v>
      </c>
      <c r="W1" t="s">
        <v>71</v>
      </c>
      <c r="X1" t="s">
        <v>72</v>
      </c>
      <c r="Y1" t="s">
        <v>10</v>
      </c>
      <c r="Z1" t="s">
        <v>11</v>
      </c>
      <c r="AA1" t="s">
        <v>74</v>
      </c>
      <c r="AB1" t="s">
        <v>75</v>
      </c>
      <c r="AC1" t="s">
        <v>12</v>
      </c>
      <c r="AD1" t="s">
        <v>13</v>
      </c>
      <c r="AE1" t="s">
        <v>77</v>
      </c>
      <c r="AF1" t="s">
        <v>78</v>
      </c>
      <c r="AG1" t="s">
        <v>14</v>
      </c>
      <c r="AH1" t="s">
        <v>15</v>
      </c>
    </row>
    <row r="2" spans="1:34" x14ac:dyDescent="0.2">
      <c r="A2" t="s">
        <v>17</v>
      </c>
      <c r="B2" t="str">
        <f>VLOOKUP(A2,Seqs!$A:$D,2,FALSE)</f>
        <v>ste2_yeast</v>
      </c>
      <c r="C2">
        <f>VLOOKUP($B2&amp;"__wt",'SegEnds_Xtal_BW#'!$A:$AR,3,FALSE)</f>
        <v>49</v>
      </c>
      <c r="D2">
        <f>VLOOKUP($B2&amp;"__wt",'SegEnds_Xtal_BW#'!$A:$AR,4,FALSE)</f>
        <v>59</v>
      </c>
      <c r="E2">
        <f>VLOOKUP($B2&amp;"__wt",'SegEnds_Xtal_BW#'!$A:$AR,5,FALSE)</f>
        <v>49</v>
      </c>
      <c r="F2">
        <f>VLOOKUP($B2&amp;"__wt",'SegEnds_Xtal_BW#'!$A:$AR,6,FALSE)</f>
        <v>50</v>
      </c>
      <c r="G2">
        <f>VLOOKUP($B2&amp;"__wt",'SegEnds_Xtal_BW#'!$A:$AR,7,FALSE)</f>
        <v>50</v>
      </c>
      <c r="H2">
        <f>VLOOKUP($B2&amp;"__wt",'SegEnds_Xtal_BW#'!$A:$AR,8,FALSE)</f>
        <v>55</v>
      </c>
      <c r="I2">
        <f>VLOOKUP($B2&amp;"__wt",'SegEnds_Xtal_BW#'!$A:$AR,9,FALSE)</f>
        <v>25</v>
      </c>
      <c r="J2">
        <f>VLOOKUP($B2&amp;"__wt",'SegEnds_Xtal_BW#'!$A:$AR,10,FALSE)</f>
        <v>60</v>
      </c>
      <c r="K2" t="s">
        <v>66</v>
      </c>
      <c r="L2" t="s">
        <v>66</v>
      </c>
      <c r="M2">
        <f>VLOOKUP($B2&amp;"__wt",'SegEnds_Xtal_BW#'!$A:$AR,13,FALSE)</f>
        <v>37</v>
      </c>
      <c r="N2">
        <f>VLOOKUP($B2&amp;"__wt",'SegEnds_Xtal_BW#'!$A:$AR,14,FALSE)</f>
        <v>63</v>
      </c>
      <c r="O2">
        <f>VLOOKUP($B2&amp;"__wt",'SegEnds_Xtal_BW#'!$A:$AR,15,FALSE)</f>
        <v>45</v>
      </c>
      <c r="P2">
        <f>VLOOKUP($B2&amp;"__wt",'SegEnds_Xtal_BW#'!$A:$AR,16,FALSE)</f>
        <v>60</v>
      </c>
      <c r="Q2">
        <f>VLOOKUP($B2&amp;"__wt",'SegEnds_Xtal_BW#'!$A:$AR,17,FALSE)</f>
        <v>22</v>
      </c>
      <c r="R2">
        <f>VLOOKUP($B2&amp;"__wt",'SegEnds_Xtal_BW#'!$A:$AR,18,FALSE)</f>
        <v>56</v>
      </c>
      <c r="S2" t="s">
        <v>66</v>
      </c>
      <c r="T2" t="s">
        <v>66</v>
      </c>
      <c r="U2">
        <f>VLOOKUP($B2&amp;"__wt",'SegEnds_Xtal_BW#'!$A:$AR,21,FALSE)</f>
        <v>33</v>
      </c>
      <c r="V2">
        <f>VLOOKUP($B2&amp;"__wt",'SegEnds_Xtal_BW#'!$A:$AR,22,FALSE)</f>
        <v>67</v>
      </c>
      <c r="W2" t="s">
        <v>66</v>
      </c>
      <c r="X2" t="s">
        <v>66</v>
      </c>
      <c r="Y2">
        <f>VLOOKUP($B2&amp;"__wt",'SegEnds_Xtal_BW#'!$A:$AR,25,FALSE)</f>
        <v>40</v>
      </c>
      <c r="Z2">
        <f>VLOOKUP($B2&amp;"__wt",'SegEnds_Xtal_BW#'!$A:$AR,26,FALSE)</f>
        <v>75</v>
      </c>
      <c r="AA2" t="s">
        <v>66</v>
      </c>
      <c r="AB2" t="s">
        <v>66</v>
      </c>
      <c r="AC2">
        <f>VLOOKUP($B2&amp;"__wt",'SegEnds_Xtal_BW#'!$A:$AR,29,FALSE)</f>
        <v>28</v>
      </c>
      <c r="AD2">
        <f>VLOOKUP($B2&amp;"__wt",'SegEnds_Xtal_BW#'!$A:$AR,30,FALSE)</f>
        <v>54</v>
      </c>
      <c r="AE2" t="s">
        <v>66</v>
      </c>
      <c r="AF2" t="s">
        <v>66</v>
      </c>
      <c r="AG2">
        <f>VLOOKUP($B2&amp;"__wt",'SegEnds_Xtal_BW#'!$A:$AR,33,FALSE)</f>
        <v>39</v>
      </c>
      <c r="AH2">
        <f>VLOOKUP($B2&amp;"__wt",'SegEnds_Xtal_BW#'!$A:$AR,34,FALSE)</f>
        <v>69</v>
      </c>
    </row>
    <row r="3" spans="1:34" x14ac:dyDescent="0.2">
      <c r="A3" t="s">
        <v>31</v>
      </c>
      <c r="B3" t="str">
        <f>VLOOKUP(A3,Seqs!$A:$D,2,FALSE)</f>
        <v>ste2_yeast</v>
      </c>
      <c r="C3">
        <f>VLOOKUP($B3&amp;"__wt",'SegEnds_Xtal_BW#'!$A:$AR,3,FALSE)</f>
        <v>49</v>
      </c>
      <c r="D3">
        <f>VLOOKUP($B3&amp;"__wt",'SegEnds_Xtal_BW#'!$A:$AR,4,FALSE)</f>
        <v>59</v>
      </c>
      <c r="E3">
        <f>VLOOKUP($B3&amp;"__wt",'SegEnds_Xtal_BW#'!$A:$AR,5,FALSE)</f>
        <v>49</v>
      </c>
      <c r="F3">
        <f>VLOOKUP($B3&amp;"__wt",'SegEnds_Xtal_BW#'!$A:$AR,6,FALSE)</f>
        <v>50</v>
      </c>
      <c r="G3">
        <f>VLOOKUP($B3&amp;"__wt",'SegEnds_Xtal_BW#'!$A:$AR,7,FALSE)</f>
        <v>50</v>
      </c>
      <c r="H3">
        <f>VLOOKUP($B3&amp;"__wt",'SegEnds_Xtal_BW#'!$A:$AR,8,FALSE)</f>
        <v>55</v>
      </c>
      <c r="I3">
        <f>VLOOKUP($B3&amp;"__wt",'SegEnds_Xtal_BW#'!$A:$AR,9,FALSE)</f>
        <v>25</v>
      </c>
      <c r="J3">
        <f>VLOOKUP($B3&amp;"__wt",'SegEnds_Xtal_BW#'!$A:$AR,10,FALSE)</f>
        <v>60</v>
      </c>
      <c r="K3" t="s">
        <v>66</v>
      </c>
      <c r="L3" t="s">
        <v>66</v>
      </c>
      <c r="M3">
        <f>VLOOKUP($B3&amp;"__wt",'SegEnds_Xtal_BW#'!$A:$AR,13,FALSE)</f>
        <v>37</v>
      </c>
      <c r="N3">
        <f>VLOOKUP($B3&amp;"__wt",'SegEnds_Xtal_BW#'!$A:$AR,14,FALSE)</f>
        <v>63</v>
      </c>
      <c r="O3">
        <f>VLOOKUP($B3&amp;"__wt",'SegEnds_Xtal_BW#'!$A:$AR,15,FALSE)</f>
        <v>45</v>
      </c>
      <c r="P3">
        <f>VLOOKUP($B3&amp;"__wt",'SegEnds_Xtal_BW#'!$A:$AR,16,FALSE)</f>
        <v>60</v>
      </c>
      <c r="Q3">
        <f>VLOOKUP($B3&amp;"__wt",'SegEnds_Xtal_BW#'!$A:$AR,17,FALSE)</f>
        <v>22</v>
      </c>
      <c r="R3">
        <f>VLOOKUP($B3&amp;"__wt",'SegEnds_Xtal_BW#'!$A:$AR,18,FALSE)</f>
        <v>56</v>
      </c>
      <c r="S3" t="s">
        <v>66</v>
      </c>
      <c r="T3" t="s">
        <v>66</v>
      </c>
      <c r="U3">
        <f>VLOOKUP($B3&amp;"__wt",'SegEnds_Xtal_BW#'!$A:$AR,21,FALSE)</f>
        <v>33</v>
      </c>
      <c r="V3">
        <f>VLOOKUP($B3&amp;"__wt",'SegEnds_Xtal_BW#'!$A:$AR,22,FALSE)</f>
        <v>67</v>
      </c>
      <c r="W3" t="s">
        <v>66</v>
      </c>
      <c r="X3" t="s">
        <v>66</v>
      </c>
      <c r="Y3">
        <f>VLOOKUP($B3&amp;"__wt",'SegEnds_Xtal_BW#'!$A:$AR,25,FALSE)</f>
        <v>40</v>
      </c>
      <c r="Z3">
        <f>VLOOKUP($B3&amp;"__wt",'SegEnds_Xtal_BW#'!$A:$AR,26,FALSE)</f>
        <v>75</v>
      </c>
      <c r="AA3" t="s">
        <v>66</v>
      </c>
      <c r="AB3" t="s">
        <v>66</v>
      </c>
      <c r="AC3">
        <f>VLOOKUP($B3&amp;"__wt",'SegEnds_Xtal_BW#'!$A:$AR,29,FALSE)</f>
        <v>28</v>
      </c>
      <c r="AD3">
        <f>VLOOKUP($B3&amp;"__wt",'SegEnds_Xtal_BW#'!$A:$AR,30,FALSE)</f>
        <v>54</v>
      </c>
      <c r="AE3" t="s">
        <v>66</v>
      </c>
      <c r="AF3" t="s">
        <v>66</v>
      </c>
      <c r="AG3">
        <f>VLOOKUP($B3&amp;"__wt",'SegEnds_Xtal_BW#'!$A:$AR,33,FALSE)</f>
        <v>39</v>
      </c>
      <c r="AH3">
        <f>VLOOKUP($B3&amp;"__wt",'SegEnds_Xtal_BW#'!$A:$AR,34,FALSE)</f>
        <v>69</v>
      </c>
    </row>
    <row r="4" spans="1:34" x14ac:dyDescent="0.2">
      <c r="A4" t="s">
        <v>33</v>
      </c>
      <c r="B4" t="str">
        <f>VLOOKUP(A4,Seqs!$A:$D,2,FALSE)</f>
        <v>ste2_yeast</v>
      </c>
      <c r="C4">
        <f>VLOOKUP($B4&amp;"__wt",'SegEnds_Xtal_BW#'!$A:$AR,3,FALSE)</f>
        <v>49</v>
      </c>
      <c r="D4">
        <f>VLOOKUP($B4&amp;"__wt",'SegEnds_Xtal_BW#'!$A:$AR,4,FALSE)</f>
        <v>59</v>
      </c>
      <c r="E4">
        <f>VLOOKUP($B4&amp;"__wt",'SegEnds_Xtal_BW#'!$A:$AR,5,FALSE)</f>
        <v>49</v>
      </c>
      <c r="F4">
        <f>VLOOKUP($B4&amp;"__wt",'SegEnds_Xtal_BW#'!$A:$AR,6,FALSE)</f>
        <v>50</v>
      </c>
      <c r="G4">
        <f>VLOOKUP($B4&amp;"__wt",'SegEnds_Xtal_BW#'!$A:$AR,7,FALSE)</f>
        <v>50</v>
      </c>
      <c r="H4">
        <f>VLOOKUP($B4&amp;"__wt",'SegEnds_Xtal_BW#'!$A:$AR,8,FALSE)</f>
        <v>55</v>
      </c>
      <c r="I4">
        <f>VLOOKUP($B4&amp;"__wt",'SegEnds_Xtal_BW#'!$A:$AR,9,FALSE)</f>
        <v>25</v>
      </c>
      <c r="J4">
        <f>VLOOKUP($B4&amp;"__wt",'SegEnds_Xtal_BW#'!$A:$AR,10,FALSE)</f>
        <v>60</v>
      </c>
      <c r="K4" t="s">
        <v>66</v>
      </c>
      <c r="L4" t="s">
        <v>66</v>
      </c>
      <c r="M4">
        <f>VLOOKUP($B4&amp;"__wt",'SegEnds_Xtal_BW#'!$A:$AR,13,FALSE)</f>
        <v>37</v>
      </c>
      <c r="N4">
        <f>VLOOKUP($B4&amp;"__wt",'SegEnds_Xtal_BW#'!$A:$AR,14,FALSE)</f>
        <v>63</v>
      </c>
      <c r="O4">
        <f>VLOOKUP($B4&amp;"__wt",'SegEnds_Xtal_BW#'!$A:$AR,15,FALSE)</f>
        <v>45</v>
      </c>
      <c r="P4">
        <f>VLOOKUP($B4&amp;"__wt",'SegEnds_Xtal_BW#'!$A:$AR,16,FALSE)</f>
        <v>60</v>
      </c>
      <c r="Q4">
        <f>VLOOKUP($B4&amp;"__wt",'SegEnds_Xtal_BW#'!$A:$AR,17,FALSE)</f>
        <v>22</v>
      </c>
      <c r="R4">
        <f>VLOOKUP($B4&amp;"__wt",'SegEnds_Xtal_BW#'!$A:$AR,18,FALSE)</f>
        <v>56</v>
      </c>
      <c r="S4" t="s">
        <v>66</v>
      </c>
      <c r="T4" t="s">
        <v>66</v>
      </c>
      <c r="U4">
        <f>VLOOKUP($B4&amp;"__wt",'SegEnds_Xtal_BW#'!$A:$AR,21,FALSE)</f>
        <v>33</v>
      </c>
      <c r="V4">
        <f>VLOOKUP($B4&amp;"__wt",'SegEnds_Xtal_BW#'!$A:$AR,22,FALSE)</f>
        <v>67</v>
      </c>
      <c r="W4" t="s">
        <v>66</v>
      </c>
      <c r="X4" t="s">
        <v>66</v>
      </c>
      <c r="Y4">
        <f>VLOOKUP($B4&amp;"__wt",'SegEnds_Xtal_BW#'!$A:$AR,25,FALSE)</f>
        <v>40</v>
      </c>
      <c r="Z4">
        <f>VLOOKUP($B4&amp;"__wt",'SegEnds_Xtal_BW#'!$A:$AR,26,FALSE)</f>
        <v>75</v>
      </c>
      <c r="AA4" t="s">
        <v>66</v>
      </c>
      <c r="AB4" t="s">
        <v>66</v>
      </c>
      <c r="AC4">
        <f>VLOOKUP($B4&amp;"__wt",'SegEnds_Xtal_BW#'!$A:$AR,29,FALSE)</f>
        <v>28</v>
      </c>
      <c r="AD4">
        <f>VLOOKUP($B4&amp;"__wt",'SegEnds_Xtal_BW#'!$A:$AR,30,FALSE)</f>
        <v>54</v>
      </c>
      <c r="AE4" t="s">
        <v>66</v>
      </c>
      <c r="AF4" t="s">
        <v>66</v>
      </c>
      <c r="AG4">
        <f>VLOOKUP($B4&amp;"__wt",'SegEnds_Xtal_BW#'!$A:$AR,33,FALSE)</f>
        <v>39</v>
      </c>
      <c r="AH4">
        <f>VLOOKUP($B4&amp;"__wt",'SegEnds_Xtal_BW#'!$A:$AR,34,FALSE)</f>
        <v>69</v>
      </c>
    </row>
    <row r="5" spans="1:34" x14ac:dyDescent="0.2">
      <c r="A5" s="1" t="s">
        <v>35</v>
      </c>
      <c r="B5" t="str">
        <f>VLOOKUP(A5,Seqs!$A:$D,2,FALSE)</f>
        <v>ste2_yeast</v>
      </c>
      <c r="C5">
        <f>VLOOKUP($B5&amp;"__wt",'SegEnds_Xtal_BW#'!$A:$AR,3,FALSE)</f>
        <v>49</v>
      </c>
      <c r="D5">
        <f>VLOOKUP($B5&amp;"__wt",'SegEnds_Xtal_BW#'!$A:$AR,4,FALSE)</f>
        <v>59</v>
      </c>
      <c r="E5">
        <f>VLOOKUP($B5&amp;"__wt",'SegEnds_Xtal_BW#'!$A:$AR,5,FALSE)</f>
        <v>49</v>
      </c>
      <c r="F5">
        <f>VLOOKUP($B5&amp;"__wt",'SegEnds_Xtal_BW#'!$A:$AR,6,FALSE)</f>
        <v>50</v>
      </c>
      <c r="G5">
        <f>VLOOKUP($B5&amp;"__wt",'SegEnds_Xtal_BW#'!$A:$AR,7,FALSE)</f>
        <v>50</v>
      </c>
      <c r="H5">
        <f>VLOOKUP($B5&amp;"__wt",'SegEnds_Xtal_BW#'!$A:$AR,8,FALSE)</f>
        <v>55</v>
      </c>
      <c r="I5">
        <f>VLOOKUP($B5&amp;"__wt",'SegEnds_Xtal_BW#'!$A:$AR,9,FALSE)</f>
        <v>25</v>
      </c>
      <c r="J5">
        <f>VLOOKUP($B5&amp;"__wt",'SegEnds_Xtal_BW#'!$A:$AR,10,FALSE)</f>
        <v>60</v>
      </c>
      <c r="K5" t="s">
        <v>66</v>
      </c>
      <c r="L5" t="s">
        <v>66</v>
      </c>
      <c r="M5">
        <f>VLOOKUP($B5&amp;"__wt",'SegEnds_Xtal_BW#'!$A:$AR,13,FALSE)</f>
        <v>37</v>
      </c>
      <c r="N5">
        <f>VLOOKUP($B5&amp;"__wt",'SegEnds_Xtal_BW#'!$A:$AR,14,FALSE)</f>
        <v>63</v>
      </c>
      <c r="O5">
        <f>VLOOKUP($B5&amp;"__wt",'SegEnds_Xtal_BW#'!$A:$AR,15,FALSE)</f>
        <v>45</v>
      </c>
      <c r="P5">
        <f>VLOOKUP($B5&amp;"__wt",'SegEnds_Xtal_BW#'!$A:$AR,16,FALSE)</f>
        <v>60</v>
      </c>
      <c r="Q5">
        <f>VLOOKUP($B5&amp;"__wt",'SegEnds_Xtal_BW#'!$A:$AR,17,FALSE)</f>
        <v>22</v>
      </c>
      <c r="R5">
        <f>VLOOKUP($B5&amp;"__wt",'SegEnds_Xtal_BW#'!$A:$AR,18,FALSE)</f>
        <v>56</v>
      </c>
      <c r="S5" t="s">
        <v>66</v>
      </c>
      <c r="T5" t="s">
        <v>66</v>
      </c>
      <c r="U5">
        <f>VLOOKUP($B5&amp;"__wt",'SegEnds_Xtal_BW#'!$A:$AR,21,FALSE)</f>
        <v>33</v>
      </c>
      <c r="V5">
        <f>VLOOKUP($B5&amp;"__wt",'SegEnds_Xtal_BW#'!$A:$AR,22,FALSE)</f>
        <v>67</v>
      </c>
      <c r="W5" t="s">
        <v>66</v>
      </c>
      <c r="X5" t="s">
        <v>66</v>
      </c>
      <c r="Y5">
        <f>VLOOKUP($B5&amp;"__wt",'SegEnds_Xtal_BW#'!$A:$AR,25,FALSE)</f>
        <v>40</v>
      </c>
      <c r="Z5">
        <f>VLOOKUP($B5&amp;"__wt",'SegEnds_Xtal_BW#'!$A:$AR,26,FALSE)</f>
        <v>75</v>
      </c>
      <c r="AA5" t="s">
        <v>66</v>
      </c>
      <c r="AB5" t="s">
        <v>66</v>
      </c>
      <c r="AC5">
        <f>VLOOKUP($B5&amp;"__wt",'SegEnds_Xtal_BW#'!$A:$AR,29,FALSE)</f>
        <v>28</v>
      </c>
      <c r="AD5">
        <f>VLOOKUP($B5&amp;"__wt",'SegEnds_Xtal_BW#'!$A:$AR,30,FALSE)</f>
        <v>54</v>
      </c>
      <c r="AE5" t="s">
        <v>66</v>
      </c>
      <c r="AF5" t="s">
        <v>66</v>
      </c>
      <c r="AG5">
        <f>VLOOKUP($B5&amp;"__wt",'SegEnds_Xtal_BW#'!$A:$AR,33,FALSE)</f>
        <v>39</v>
      </c>
      <c r="AH5">
        <f>VLOOKUP($B5&amp;"__wt",'SegEnds_Xtal_BW#'!$A:$AR,34,FALSE)</f>
        <v>69</v>
      </c>
    </row>
    <row r="6" spans="1:34" x14ac:dyDescent="0.2">
      <c r="A6" t="s">
        <v>37</v>
      </c>
      <c r="B6" t="str">
        <f>VLOOKUP(A6,Seqs!$A:$D,2,FALSE)</f>
        <v>ste2_yeast</v>
      </c>
      <c r="C6">
        <f>VLOOKUP($B6&amp;"__wt",'SegEnds_Xtal_BW#'!$A:$AR,3,FALSE)</f>
        <v>49</v>
      </c>
      <c r="D6">
        <f>VLOOKUP($B6&amp;"__wt",'SegEnds_Xtal_BW#'!$A:$AR,4,FALSE)</f>
        <v>59</v>
      </c>
      <c r="E6">
        <f>VLOOKUP($B6&amp;"__wt",'SegEnds_Xtal_BW#'!$A:$AR,5,FALSE)</f>
        <v>49</v>
      </c>
      <c r="F6">
        <f>VLOOKUP($B6&amp;"__wt",'SegEnds_Xtal_BW#'!$A:$AR,6,FALSE)</f>
        <v>50</v>
      </c>
      <c r="G6">
        <f>VLOOKUP($B6&amp;"__wt",'SegEnds_Xtal_BW#'!$A:$AR,7,FALSE)</f>
        <v>50</v>
      </c>
      <c r="H6">
        <f>VLOOKUP($B6&amp;"__wt",'SegEnds_Xtal_BW#'!$A:$AR,8,FALSE)</f>
        <v>55</v>
      </c>
      <c r="I6">
        <f>VLOOKUP($B6&amp;"__wt",'SegEnds_Xtal_BW#'!$A:$AR,9,FALSE)</f>
        <v>25</v>
      </c>
      <c r="J6">
        <f>VLOOKUP($B6&amp;"__wt",'SegEnds_Xtal_BW#'!$A:$AR,10,FALSE)</f>
        <v>60</v>
      </c>
      <c r="K6" t="s">
        <v>66</v>
      </c>
      <c r="L6" t="s">
        <v>66</v>
      </c>
      <c r="M6">
        <f>VLOOKUP($B6&amp;"__wt",'SegEnds_Xtal_BW#'!$A:$AR,13,FALSE)</f>
        <v>37</v>
      </c>
      <c r="N6">
        <f>VLOOKUP($B6&amp;"__wt",'SegEnds_Xtal_BW#'!$A:$AR,14,FALSE)</f>
        <v>63</v>
      </c>
      <c r="O6">
        <f>VLOOKUP($B6&amp;"__wt",'SegEnds_Xtal_BW#'!$A:$AR,15,FALSE)</f>
        <v>45</v>
      </c>
      <c r="P6">
        <f>VLOOKUP($B6&amp;"__wt",'SegEnds_Xtal_BW#'!$A:$AR,16,FALSE)</f>
        <v>60</v>
      </c>
      <c r="Q6">
        <f>VLOOKUP($B6&amp;"__wt",'SegEnds_Xtal_BW#'!$A:$AR,17,FALSE)</f>
        <v>22</v>
      </c>
      <c r="R6">
        <f>VLOOKUP($B6&amp;"__wt",'SegEnds_Xtal_BW#'!$A:$AR,18,FALSE)</f>
        <v>56</v>
      </c>
      <c r="S6" t="s">
        <v>66</v>
      </c>
      <c r="T6" t="s">
        <v>66</v>
      </c>
      <c r="U6">
        <f>VLOOKUP($B6&amp;"__wt",'SegEnds_Xtal_BW#'!$A:$AR,21,FALSE)</f>
        <v>33</v>
      </c>
      <c r="V6">
        <f>VLOOKUP($B6&amp;"__wt",'SegEnds_Xtal_BW#'!$A:$AR,22,FALSE)</f>
        <v>67</v>
      </c>
      <c r="W6" t="s">
        <v>66</v>
      </c>
      <c r="X6" t="s">
        <v>66</v>
      </c>
      <c r="Y6">
        <f>VLOOKUP($B6&amp;"__wt",'SegEnds_Xtal_BW#'!$A:$AR,25,FALSE)</f>
        <v>40</v>
      </c>
      <c r="Z6">
        <f>VLOOKUP($B6&amp;"__wt",'SegEnds_Xtal_BW#'!$A:$AR,26,FALSE)</f>
        <v>75</v>
      </c>
      <c r="AA6" t="s">
        <v>66</v>
      </c>
      <c r="AB6" t="s">
        <v>66</v>
      </c>
      <c r="AC6">
        <f>VLOOKUP($B6&amp;"__wt",'SegEnds_Xtal_BW#'!$A:$AR,29,FALSE)</f>
        <v>28</v>
      </c>
      <c r="AD6">
        <f>VLOOKUP($B6&amp;"__wt",'SegEnds_Xtal_BW#'!$A:$AR,30,FALSE)</f>
        <v>54</v>
      </c>
      <c r="AE6" t="s">
        <v>66</v>
      </c>
      <c r="AF6" t="s">
        <v>66</v>
      </c>
      <c r="AG6">
        <f>VLOOKUP($B6&amp;"__wt",'SegEnds_Xtal_BW#'!$A:$AR,33,FALSE)</f>
        <v>39</v>
      </c>
      <c r="AH6">
        <f>VLOOKUP($B6&amp;"__wt",'SegEnds_Xtal_BW#'!$A:$AR,34,FALSE)</f>
        <v>69</v>
      </c>
    </row>
    <row r="7" spans="1:34" x14ac:dyDescent="0.2">
      <c r="A7" t="s">
        <v>39</v>
      </c>
      <c r="B7" t="str">
        <f>VLOOKUP(A7,Seqs!$A:$D,2,FALSE)</f>
        <v>ste2_yeast</v>
      </c>
      <c r="C7">
        <f>VLOOKUP($B7&amp;"__wt",'SegEnds_Xtal_BW#'!$A:$AR,3,FALSE)</f>
        <v>49</v>
      </c>
      <c r="D7">
        <f>VLOOKUP($B7&amp;"__wt",'SegEnds_Xtal_BW#'!$A:$AR,4,FALSE)</f>
        <v>59</v>
      </c>
      <c r="E7">
        <f>VLOOKUP($B7&amp;"__wt",'SegEnds_Xtal_BW#'!$A:$AR,5,FALSE)</f>
        <v>49</v>
      </c>
      <c r="F7">
        <f>VLOOKUP($B7&amp;"__wt",'SegEnds_Xtal_BW#'!$A:$AR,6,FALSE)</f>
        <v>50</v>
      </c>
      <c r="G7">
        <f>VLOOKUP($B7&amp;"__wt",'SegEnds_Xtal_BW#'!$A:$AR,7,FALSE)</f>
        <v>50</v>
      </c>
      <c r="H7">
        <f>VLOOKUP($B7&amp;"__wt",'SegEnds_Xtal_BW#'!$A:$AR,8,FALSE)</f>
        <v>55</v>
      </c>
      <c r="I7">
        <f>VLOOKUP($B7&amp;"__wt",'SegEnds_Xtal_BW#'!$A:$AR,9,FALSE)</f>
        <v>25</v>
      </c>
      <c r="J7">
        <f>VLOOKUP($B7&amp;"__wt",'SegEnds_Xtal_BW#'!$A:$AR,10,FALSE)</f>
        <v>60</v>
      </c>
      <c r="K7" t="s">
        <v>66</v>
      </c>
      <c r="L7" t="s">
        <v>66</v>
      </c>
      <c r="M7">
        <f>VLOOKUP($B7&amp;"__wt",'SegEnds_Xtal_BW#'!$A:$AR,13,FALSE)</f>
        <v>37</v>
      </c>
      <c r="N7">
        <f>VLOOKUP($B7&amp;"__wt",'SegEnds_Xtal_BW#'!$A:$AR,14,FALSE)</f>
        <v>63</v>
      </c>
      <c r="O7">
        <f>VLOOKUP($B7&amp;"__wt",'SegEnds_Xtal_BW#'!$A:$AR,15,FALSE)</f>
        <v>45</v>
      </c>
      <c r="P7">
        <f>VLOOKUP($B7&amp;"__wt",'SegEnds_Xtal_BW#'!$A:$AR,16,FALSE)</f>
        <v>60</v>
      </c>
      <c r="Q7">
        <f>VLOOKUP($B7&amp;"__wt",'SegEnds_Xtal_BW#'!$A:$AR,17,FALSE)</f>
        <v>22</v>
      </c>
      <c r="R7">
        <f>VLOOKUP($B7&amp;"__wt",'SegEnds_Xtal_BW#'!$A:$AR,18,FALSE)</f>
        <v>56</v>
      </c>
      <c r="S7" t="s">
        <v>66</v>
      </c>
      <c r="T7" t="s">
        <v>66</v>
      </c>
      <c r="U7">
        <f>VLOOKUP($B7&amp;"__wt",'SegEnds_Xtal_BW#'!$A:$AR,21,FALSE)</f>
        <v>33</v>
      </c>
      <c r="V7">
        <f>VLOOKUP($B7&amp;"__wt",'SegEnds_Xtal_BW#'!$A:$AR,22,FALSE)</f>
        <v>67</v>
      </c>
      <c r="W7" t="s">
        <v>66</v>
      </c>
      <c r="X7" t="s">
        <v>66</v>
      </c>
      <c r="Y7">
        <f>VLOOKUP($B7&amp;"__wt",'SegEnds_Xtal_BW#'!$A:$AR,25,FALSE)</f>
        <v>40</v>
      </c>
      <c r="Z7">
        <f>VLOOKUP($B7&amp;"__wt",'SegEnds_Xtal_BW#'!$A:$AR,26,FALSE)</f>
        <v>75</v>
      </c>
      <c r="AA7" t="s">
        <v>66</v>
      </c>
      <c r="AB7" t="s">
        <v>66</v>
      </c>
      <c r="AC7">
        <f>VLOOKUP($B7&amp;"__wt",'SegEnds_Xtal_BW#'!$A:$AR,29,FALSE)</f>
        <v>28</v>
      </c>
      <c r="AD7">
        <f>VLOOKUP($B7&amp;"__wt",'SegEnds_Xtal_BW#'!$A:$AR,30,FALSE)</f>
        <v>54</v>
      </c>
      <c r="AE7" t="s">
        <v>66</v>
      </c>
      <c r="AF7" t="s">
        <v>66</v>
      </c>
      <c r="AG7">
        <f>VLOOKUP($B7&amp;"__wt",'SegEnds_Xtal_BW#'!$A:$AR,33,FALSE)</f>
        <v>39</v>
      </c>
      <c r="AH7">
        <f>VLOOKUP($B7&amp;"__wt",'SegEnds_Xtal_BW#'!$A:$AR,34,FALSE)</f>
        <v>69</v>
      </c>
    </row>
    <row r="8" spans="1:34" x14ac:dyDescent="0.2">
      <c r="A8" t="s">
        <v>41</v>
      </c>
      <c r="B8" t="str">
        <f>VLOOKUP(A8,Seqs!$A:$D,2,FALSE)</f>
        <v>ste2_yeast</v>
      </c>
      <c r="C8">
        <f>VLOOKUP($B8&amp;"__wt",'SegEnds_Xtal_BW#'!$A:$AR,3,FALSE)</f>
        <v>49</v>
      </c>
      <c r="D8">
        <f>VLOOKUP($B8&amp;"__wt",'SegEnds_Xtal_BW#'!$A:$AR,4,FALSE)</f>
        <v>59</v>
      </c>
      <c r="E8">
        <f>VLOOKUP($B8&amp;"__wt",'SegEnds_Xtal_BW#'!$A:$AR,5,FALSE)</f>
        <v>49</v>
      </c>
      <c r="F8">
        <f>VLOOKUP($B8&amp;"__wt",'SegEnds_Xtal_BW#'!$A:$AR,6,FALSE)</f>
        <v>50</v>
      </c>
      <c r="G8">
        <f>VLOOKUP($B8&amp;"__wt",'SegEnds_Xtal_BW#'!$A:$AR,7,FALSE)</f>
        <v>50</v>
      </c>
      <c r="H8">
        <f>VLOOKUP($B8&amp;"__wt",'SegEnds_Xtal_BW#'!$A:$AR,8,FALSE)</f>
        <v>55</v>
      </c>
      <c r="I8">
        <f>VLOOKUP($B8&amp;"__wt",'SegEnds_Xtal_BW#'!$A:$AR,9,FALSE)</f>
        <v>25</v>
      </c>
      <c r="J8">
        <f>VLOOKUP($B8&amp;"__wt",'SegEnds_Xtal_BW#'!$A:$AR,10,FALSE)</f>
        <v>60</v>
      </c>
      <c r="K8" t="s">
        <v>66</v>
      </c>
      <c r="L8" t="s">
        <v>66</v>
      </c>
      <c r="M8">
        <f>VLOOKUP($B8&amp;"__wt",'SegEnds_Xtal_BW#'!$A:$AR,13,FALSE)</f>
        <v>37</v>
      </c>
      <c r="N8">
        <f>VLOOKUP($B8&amp;"__wt",'SegEnds_Xtal_BW#'!$A:$AR,14,FALSE)</f>
        <v>63</v>
      </c>
      <c r="O8">
        <f>VLOOKUP($B8&amp;"__wt",'SegEnds_Xtal_BW#'!$A:$AR,15,FALSE)</f>
        <v>45</v>
      </c>
      <c r="P8">
        <f>VLOOKUP($B8&amp;"__wt",'SegEnds_Xtal_BW#'!$A:$AR,16,FALSE)</f>
        <v>60</v>
      </c>
      <c r="Q8">
        <f>VLOOKUP($B8&amp;"__wt",'SegEnds_Xtal_BW#'!$A:$AR,17,FALSE)</f>
        <v>22</v>
      </c>
      <c r="R8">
        <f>VLOOKUP($B8&amp;"__wt",'SegEnds_Xtal_BW#'!$A:$AR,18,FALSE)</f>
        <v>56</v>
      </c>
      <c r="S8" t="s">
        <v>66</v>
      </c>
      <c r="T8" t="s">
        <v>66</v>
      </c>
      <c r="U8">
        <f>VLOOKUP($B8&amp;"__wt",'SegEnds_Xtal_BW#'!$A:$AR,21,FALSE)</f>
        <v>33</v>
      </c>
      <c r="V8">
        <f>VLOOKUP($B8&amp;"__wt",'SegEnds_Xtal_BW#'!$A:$AR,22,FALSE)</f>
        <v>67</v>
      </c>
      <c r="W8" t="s">
        <v>66</v>
      </c>
      <c r="X8" t="s">
        <v>66</v>
      </c>
      <c r="Y8">
        <f>VLOOKUP($B8&amp;"__wt",'SegEnds_Xtal_BW#'!$A:$AR,25,FALSE)</f>
        <v>40</v>
      </c>
      <c r="Z8">
        <f>VLOOKUP($B8&amp;"__wt",'SegEnds_Xtal_BW#'!$A:$AR,26,FALSE)</f>
        <v>75</v>
      </c>
      <c r="AA8" t="s">
        <v>66</v>
      </c>
      <c r="AB8" t="s">
        <v>66</v>
      </c>
      <c r="AC8">
        <f>VLOOKUP($B8&amp;"__wt",'SegEnds_Xtal_BW#'!$A:$AR,29,FALSE)</f>
        <v>28</v>
      </c>
      <c r="AD8">
        <f>VLOOKUP($B8&amp;"__wt",'SegEnds_Xtal_BW#'!$A:$AR,30,FALSE)</f>
        <v>54</v>
      </c>
      <c r="AE8" t="s">
        <v>66</v>
      </c>
      <c r="AF8" t="s">
        <v>66</v>
      </c>
      <c r="AG8">
        <f>VLOOKUP($B8&amp;"__wt",'SegEnds_Xtal_BW#'!$A:$AR,33,FALSE)</f>
        <v>39</v>
      </c>
      <c r="AH8">
        <f>VLOOKUP($B8&amp;"__wt",'SegEnds_Xtal_BW#'!$A:$AR,34,FALSE)</f>
        <v>69</v>
      </c>
    </row>
    <row r="9" spans="1:34" x14ac:dyDescent="0.2">
      <c r="A9" t="s">
        <v>83</v>
      </c>
      <c r="B9" t="str">
        <f>VLOOKUP(A9,Seqs!$A:$D,2,FALSE)</f>
        <v>ste2_yeast</v>
      </c>
      <c r="C9">
        <f>VLOOKUP($B9&amp;"__wt",'SegEnds_Xtal_BW#'!$A:$AR,3,FALSE)</f>
        <v>49</v>
      </c>
      <c r="D9">
        <f>VLOOKUP($B9&amp;"__wt",'SegEnds_Xtal_BW#'!$A:$AR,4,FALSE)</f>
        <v>59</v>
      </c>
      <c r="E9">
        <f>VLOOKUP($B9&amp;"__wt",'SegEnds_Xtal_BW#'!$A:$AR,5,FALSE)</f>
        <v>49</v>
      </c>
      <c r="F9">
        <f>VLOOKUP($B9&amp;"__wt",'SegEnds_Xtal_BW#'!$A:$AR,6,FALSE)</f>
        <v>50</v>
      </c>
      <c r="G9">
        <f>VLOOKUP($B9&amp;"__wt",'SegEnds_Xtal_BW#'!$A:$AR,7,FALSE)</f>
        <v>50</v>
      </c>
      <c r="H9">
        <f>VLOOKUP($B9&amp;"__wt",'SegEnds_Xtal_BW#'!$A:$AR,8,FALSE)</f>
        <v>55</v>
      </c>
      <c r="I9">
        <f>VLOOKUP($B9&amp;"__wt",'SegEnds_Xtal_BW#'!$A:$AR,9,FALSE)</f>
        <v>25</v>
      </c>
      <c r="J9">
        <f>VLOOKUP($B9&amp;"__wt",'SegEnds_Xtal_BW#'!$A:$AR,10,FALSE)</f>
        <v>60</v>
      </c>
      <c r="K9" t="s">
        <v>66</v>
      </c>
      <c r="L9" t="s">
        <v>66</v>
      </c>
      <c r="M9">
        <f>VLOOKUP($B9&amp;"__wt",'SegEnds_Xtal_BW#'!$A:$AR,13,FALSE)</f>
        <v>37</v>
      </c>
      <c r="N9">
        <f>VLOOKUP($B9&amp;"__wt",'SegEnds_Xtal_BW#'!$A:$AR,14,FALSE)</f>
        <v>63</v>
      </c>
      <c r="O9">
        <f>VLOOKUP($B9&amp;"__wt",'SegEnds_Xtal_BW#'!$A:$AR,15,FALSE)</f>
        <v>45</v>
      </c>
      <c r="P9">
        <f>VLOOKUP($B9&amp;"__wt",'SegEnds_Xtal_BW#'!$A:$AR,16,FALSE)</f>
        <v>60</v>
      </c>
      <c r="Q9">
        <f>VLOOKUP($B9&amp;"__wt",'SegEnds_Xtal_BW#'!$A:$AR,17,FALSE)</f>
        <v>22</v>
      </c>
      <c r="R9">
        <f>VLOOKUP($B9&amp;"__wt",'SegEnds_Xtal_BW#'!$A:$AR,18,FALSE)</f>
        <v>56</v>
      </c>
      <c r="S9" t="s">
        <v>66</v>
      </c>
      <c r="T9" t="s">
        <v>66</v>
      </c>
      <c r="U9">
        <f>VLOOKUP($B9&amp;"__wt",'SegEnds_Xtal_BW#'!$A:$AR,21,FALSE)</f>
        <v>33</v>
      </c>
      <c r="V9">
        <f>VLOOKUP($B9&amp;"__wt",'SegEnds_Xtal_BW#'!$A:$AR,22,FALSE)</f>
        <v>67</v>
      </c>
      <c r="W9" t="s">
        <v>66</v>
      </c>
      <c r="X9" t="s">
        <v>66</v>
      </c>
      <c r="Y9">
        <f>VLOOKUP($B9&amp;"__wt",'SegEnds_Xtal_BW#'!$A:$AR,25,FALSE)</f>
        <v>40</v>
      </c>
      <c r="Z9">
        <f>VLOOKUP($B9&amp;"__wt",'SegEnds_Xtal_BW#'!$A:$AR,26,FALSE)</f>
        <v>75</v>
      </c>
      <c r="AA9" t="s">
        <v>66</v>
      </c>
      <c r="AB9" t="s">
        <v>66</v>
      </c>
      <c r="AC9">
        <f>VLOOKUP($B9&amp;"__wt",'SegEnds_Xtal_BW#'!$A:$AR,29,FALSE)</f>
        <v>28</v>
      </c>
      <c r="AD9">
        <f>VLOOKUP($B9&amp;"__wt",'SegEnds_Xtal_BW#'!$A:$AR,30,FALSE)</f>
        <v>54</v>
      </c>
      <c r="AE9" t="s">
        <v>66</v>
      </c>
      <c r="AF9" t="s">
        <v>66</v>
      </c>
      <c r="AG9">
        <f>VLOOKUP($B9&amp;"__wt",'SegEnds_Xtal_BW#'!$A:$AR,33,FALSE)</f>
        <v>39</v>
      </c>
      <c r="AH9">
        <f>VLOOKUP($B9&amp;"__wt",'SegEnds_Xtal_BW#'!$A:$AR,34,FALSE)</f>
        <v>69</v>
      </c>
    </row>
    <row r="10" spans="1:34" x14ac:dyDescent="0.2">
      <c r="A10" t="s">
        <v>86</v>
      </c>
      <c r="B10" t="str">
        <f>VLOOKUP(A10,Seqs!$A:$D,2,FALSE)</f>
        <v>ste2_yeast</v>
      </c>
      <c r="C10">
        <f>VLOOKUP($B10&amp;"__wt",'SegEnds_Xtal_BW#'!$A:$AR,3,FALSE)</f>
        <v>49</v>
      </c>
      <c r="D10">
        <f>VLOOKUP($B10&amp;"__wt",'SegEnds_Xtal_BW#'!$A:$AR,4,FALSE)</f>
        <v>59</v>
      </c>
      <c r="E10">
        <f>VLOOKUP($B10&amp;"__wt",'SegEnds_Xtal_BW#'!$A:$AR,5,FALSE)</f>
        <v>49</v>
      </c>
      <c r="F10">
        <f>VLOOKUP($B10&amp;"__wt",'SegEnds_Xtal_BW#'!$A:$AR,6,FALSE)</f>
        <v>50</v>
      </c>
      <c r="G10">
        <f>VLOOKUP($B10&amp;"__wt",'SegEnds_Xtal_BW#'!$A:$AR,7,FALSE)</f>
        <v>50</v>
      </c>
      <c r="H10">
        <f>VLOOKUP($B10&amp;"__wt",'SegEnds_Xtal_BW#'!$A:$AR,8,FALSE)</f>
        <v>55</v>
      </c>
      <c r="I10">
        <f>VLOOKUP($B10&amp;"__wt",'SegEnds_Xtal_BW#'!$A:$AR,9,FALSE)</f>
        <v>25</v>
      </c>
      <c r="J10">
        <f>VLOOKUP($B10&amp;"__wt",'SegEnds_Xtal_BW#'!$A:$AR,10,FALSE)</f>
        <v>60</v>
      </c>
      <c r="K10" t="s">
        <v>66</v>
      </c>
      <c r="L10" t="s">
        <v>66</v>
      </c>
      <c r="M10">
        <f>VLOOKUP($B10&amp;"__wt",'SegEnds_Xtal_BW#'!$A:$AR,13,FALSE)</f>
        <v>37</v>
      </c>
      <c r="N10">
        <f>VLOOKUP($B10&amp;"__wt",'SegEnds_Xtal_BW#'!$A:$AR,14,FALSE)</f>
        <v>63</v>
      </c>
      <c r="O10">
        <f>VLOOKUP($B10&amp;"__wt",'SegEnds_Xtal_BW#'!$A:$AR,15,FALSE)</f>
        <v>45</v>
      </c>
      <c r="P10">
        <f>VLOOKUP($B10&amp;"__wt",'SegEnds_Xtal_BW#'!$A:$AR,16,FALSE)</f>
        <v>60</v>
      </c>
      <c r="Q10">
        <f>VLOOKUP($B10&amp;"__wt",'SegEnds_Xtal_BW#'!$A:$AR,17,FALSE)</f>
        <v>22</v>
      </c>
      <c r="R10">
        <f>VLOOKUP($B10&amp;"__wt",'SegEnds_Xtal_BW#'!$A:$AR,18,FALSE)</f>
        <v>56</v>
      </c>
      <c r="S10" t="s">
        <v>66</v>
      </c>
      <c r="T10" t="s">
        <v>66</v>
      </c>
      <c r="U10">
        <f>VLOOKUP($B10&amp;"__wt",'SegEnds_Xtal_BW#'!$A:$AR,21,FALSE)</f>
        <v>33</v>
      </c>
      <c r="V10">
        <f>VLOOKUP($B10&amp;"__wt",'SegEnds_Xtal_BW#'!$A:$AR,22,FALSE)</f>
        <v>67</v>
      </c>
      <c r="W10" t="s">
        <v>66</v>
      </c>
      <c r="X10" t="s">
        <v>66</v>
      </c>
      <c r="Y10">
        <f>VLOOKUP($B10&amp;"__wt",'SegEnds_Xtal_BW#'!$A:$AR,25,FALSE)</f>
        <v>40</v>
      </c>
      <c r="Z10">
        <f>VLOOKUP($B10&amp;"__wt",'SegEnds_Xtal_BW#'!$A:$AR,26,FALSE)</f>
        <v>75</v>
      </c>
      <c r="AA10" t="s">
        <v>66</v>
      </c>
      <c r="AB10" t="s">
        <v>66</v>
      </c>
      <c r="AC10">
        <f>VLOOKUP($B10&amp;"__wt",'SegEnds_Xtal_BW#'!$A:$AR,29,FALSE)</f>
        <v>28</v>
      </c>
      <c r="AD10">
        <f>VLOOKUP($B10&amp;"__wt",'SegEnds_Xtal_BW#'!$A:$AR,30,FALSE)</f>
        <v>54</v>
      </c>
      <c r="AE10" t="s">
        <v>66</v>
      </c>
      <c r="AF10" t="s">
        <v>66</v>
      </c>
      <c r="AG10">
        <f>VLOOKUP($B10&amp;"__wt",'SegEnds_Xtal_BW#'!$A:$AR,33,FALSE)</f>
        <v>39</v>
      </c>
      <c r="AH10">
        <f>VLOOKUP($B10&amp;"__wt",'SegEnds_Xtal_BW#'!$A:$AR,34,FALSE)</f>
        <v>69</v>
      </c>
    </row>
    <row r="11" spans="1:34" x14ac:dyDescent="0.2">
      <c r="A11" t="s">
        <v>88</v>
      </c>
      <c r="B11" t="str">
        <f>VLOOKUP(A11,Seqs!$A:$D,2,FALSE)</f>
        <v>ste2_yeast</v>
      </c>
      <c r="C11">
        <f>VLOOKUP($B11&amp;"__wt",'SegEnds_Xtal_BW#'!$A:$AR,3,FALSE)</f>
        <v>49</v>
      </c>
      <c r="D11">
        <f>VLOOKUP($B11&amp;"__wt",'SegEnds_Xtal_BW#'!$A:$AR,4,FALSE)</f>
        <v>59</v>
      </c>
      <c r="E11">
        <f>VLOOKUP($B11&amp;"__wt",'SegEnds_Xtal_BW#'!$A:$AR,5,FALSE)</f>
        <v>49</v>
      </c>
      <c r="F11">
        <f>VLOOKUP($B11&amp;"__wt",'SegEnds_Xtal_BW#'!$A:$AR,6,FALSE)</f>
        <v>50</v>
      </c>
      <c r="G11">
        <f>VLOOKUP($B11&amp;"__wt",'SegEnds_Xtal_BW#'!$A:$AR,7,FALSE)</f>
        <v>50</v>
      </c>
      <c r="H11" s="15">
        <v>56</v>
      </c>
      <c r="I11">
        <f>VLOOKUP($B11&amp;"__wt",'SegEnds_Xtal_BW#'!$A:$AR,9,FALSE)</f>
        <v>25</v>
      </c>
      <c r="J11">
        <f>VLOOKUP($B11&amp;"__wt",'SegEnds_Xtal_BW#'!$A:$AR,10,FALSE)</f>
        <v>60</v>
      </c>
      <c r="K11" t="s">
        <v>66</v>
      </c>
      <c r="L11" t="s">
        <v>66</v>
      </c>
      <c r="M11">
        <f>VLOOKUP($B11&amp;"__wt",'SegEnds_Xtal_BW#'!$A:$AR,13,FALSE)</f>
        <v>37</v>
      </c>
      <c r="N11">
        <f>VLOOKUP($B11&amp;"__wt",'SegEnds_Xtal_BW#'!$A:$AR,14,FALSE)</f>
        <v>63</v>
      </c>
      <c r="O11">
        <f>VLOOKUP($B11&amp;"__wt",'SegEnds_Xtal_BW#'!$A:$AR,15,FALSE)</f>
        <v>45</v>
      </c>
      <c r="P11">
        <f>VLOOKUP($B11&amp;"__wt",'SegEnds_Xtal_BW#'!$A:$AR,16,FALSE)</f>
        <v>60</v>
      </c>
      <c r="Q11">
        <f>VLOOKUP($B11&amp;"__wt",'SegEnds_Xtal_BW#'!$A:$AR,17,FALSE)</f>
        <v>22</v>
      </c>
      <c r="R11">
        <f>VLOOKUP($B11&amp;"__wt",'SegEnds_Xtal_BW#'!$A:$AR,18,FALSE)</f>
        <v>56</v>
      </c>
      <c r="S11" t="s">
        <v>66</v>
      </c>
      <c r="T11" t="s">
        <v>66</v>
      </c>
      <c r="U11">
        <f>VLOOKUP($B11&amp;"__wt",'SegEnds_Xtal_BW#'!$A:$AR,21,FALSE)</f>
        <v>33</v>
      </c>
      <c r="V11">
        <f>VLOOKUP($B11&amp;"__wt",'SegEnds_Xtal_BW#'!$A:$AR,22,FALSE)</f>
        <v>67</v>
      </c>
      <c r="W11" t="s">
        <v>66</v>
      </c>
      <c r="X11" t="s">
        <v>66</v>
      </c>
      <c r="Y11">
        <f>VLOOKUP($B11&amp;"__wt",'SegEnds_Xtal_BW#'!$A:$AR,25,FALSE)</f>
        <v>40</v>
      </c>
      <c r="Z11">
        <f>VLOOKUP($B11&amp;"__wt",'SegEnds_Xtal_BW#'!$A:$AR,26,FALSE)</f>
        <v>75</v>
      </c>
      <c r="AA11" t="s">
        <v>66</v>
      </c>
      <c r="AB11" t="s">
        <v>66</v>
      </c>
      <c r="AC11">
        <f>VLOOKUP($B11&amp;"__wt",'SegEnds_Xtal_BW#'!$A:$AR,29,FALSE)</f>
        <v>28</v>
      </c>
      <c r="AD11">
        <f>VLOOKUP($B11&amp;"__wt",'SegEnds_Xtal_BW#'!$A:$AR,30,FALSE)</f>
        <v>54</v>
      </c>
      <c r="AE11" t="s">
        <v>66</v>
      </c>
      <c r="AF11" t="s">
        <v>66</v>
      </c>
      <c r="AG11">
        <f>VLOOKUP($B11&amp;"__wt",'SegEnds_Xtal_BW#'!$A:$AR,33,FALSE)</f>
        <v>39</v>
      </c>
      <c r="AH11">
        <f>VLOOKUP($B11&amp;"__wt",'SegEnds_Xtal_BW#'!$A:$AR,34,FALSE)</f>
        <v>69</v>
      </c>
    </row>
    <row r="12" spans="1:34" x14ac:dyDescent="0.2">
      <c r="A12" t="s">
        <v>90</v>
      </c>
      <c r="B12" t="str">
        <f>VLOOKUP(A12,Seqs!$A:$D,2,FALSE)</f>
        <v>ste2_yeast</v>
      </c>
      <c r="C12">
        <f>VLOOKUP($B12&amp;"__wt",'SegEnds_Xtal_BW#'!$A:$AR,3,FALSE)</f>
        <v>49</v>
      </c>
      <c r="D12">
        <f>VLOOKUP($B12&amp;"__wt",'SegEnds_Xtal_BW#'!$A:$AR,4,FALSE)</f>
        <v>59</v>
      </c>
      <c r="E12">
        <f>VLOOKUP($B12&amp;"__wt",'SegEnds_Xtal_BW#'!$A:$AR,5,FALSE)</f>
        <v>49</v>
      </c>
      <c r="F12">
        <f>VLOOKUP($B12&amp;"__wt",'SegEnds_Xtal_BW#'!$A:$AR,6,FALSE)</f>
        <v>50</v>
      </c>
      <c r="G12">
        <f>VLOOKUP($B12&amp;"__wt",'SegEnds_Xtal_BW#'!$A:$AR,7,FALSE)</f>
        <v>50</v>
      </c>
      <c r="H12">
        <f>VLOOKUP($B12&amp;"__wt",'SegEnds_Xtal_BW#'!$A:$AR,8,FALSE)</f>
        <v>55</v>
      </c>
      <c r="I12">
        <f>VLOOKUP($B12&amp;"__wt",'SegEnds_Xtal_BW#'!$A:$AR,9,FALSE)</f>
        <v>25</v>
      </c>
      <c r="J12">
        <f>VLOOKUP($B12&amp;"__wt",'SegEnds_Xtal_BW#'!$A:$AR,10,FALSE)</f>
        <v>60</v>
      </c>
      <c r="K12" t="s">
        <v>66</v>
      </c>
      <c r="L12" t="s">
        <v>66</v>
      </c>
      <c r="M12">
        <f>VLOOKUP($B12&amp;"__wt",'SegEnds_Xtal_BW#'!$A:$AR,13,FALSE)</f>
        <v>37</v>
      </c>
      <c r="N12">
        <f>VLOOKUP($B12&amp;"__wt",'SegEnds_Xtal_BW#'!$A:$AR,14,FALSE)</f>
        <v>63</v>
      </c>
      <c r="O12">
        <f>VLOOKUP($B12&amp;"__wt",'SegEnds_Xtal_BW#'!$A:$AR,15,FALSE)</f>
        <v>45</v>
      </c>
      <c r="P12">
        <f>VLOOKUP($B12&amp;"__wt",'SegEnds_Xtal_BW#'!$A:$AR,16,FALSE)</f>
        <v>60</v>
      </c>
      <c r="Q12">
        <f>VLOOKUP($B12&amp;"__wt",'SegEnds_Xtal_BW#'!$A:$AR,17,FALSE)</f>
        <v>22</v>
      </c>
      <c r="R12">
        <f>VLOOKUP($B12&amp;"__wt",'SegEnds_Xtal_BW#'!$A:$AR,18,FALSE)</f>
        <v>56</v>
      </c>
      <c r="S12" t="s">
        <v>66</v>
      </c>
      <c r="T12" t="s">
        <v>66</v>
      </c>
      <c r="U12">
        <f>VLOOKUP($B12&amp;"__wt",'SegEnds_Xtal_BW#'!$A:$AR,21,FALSE)</f>
        <v>33</v>
      </c>
      <c r="V12">
        <f>VLOOKUP($B12&amp;"__wt",'SegEnds_Xtal_BW#'!$A:$AR,22,FALSE)</f>
        <v>67</v>
      </c>
      <c r="W12" t="s">
        <v>66</v>
      </c>
      <c r="X12" t="s">
        <v>66</v>
      </c>
      <c r="Y12">
        <f>VLOOKUP($B12&amp;"__wt",'SegEnds_Xtal_BW#'!$A:$AR,25,FALSE)</f>
        <v>40</v>
      </c>
      <c r="Z12">
        <f>VLOOKUP($B12&amp;"__wt",'SegEnds_Xtal_BW#'!$A:$AR,26,FALSE)</f>
        <v>75</v>
      </c>
      <c r="AA12" t="s">
        <v>66</v>
      </c>
      <c r="AB12" t="s">
        <v>66</v>
      </c>
      <c r="AC12">
        <f>VLOOKUP($B12&amp;"__wt",'SegEnds_Xtal_BW#'!$A:$AR,29,FALSE)</f>
        <v>28</v>
      </c>
      <c r="AD12">
        <f>VLOOKUP($B12&amp;"__wt",'SegEnds_Xtal_BW#'!$A:$AR,30,FALSE)</f>
        <v>54</v>
      </c>
      <c r="AE12" t="s">
        <v>66</v>
      </c>
      <c r="AF12" t="s">
        <v>66</v>
      </c>
      <c r="AG12">
        <f>VLOOKUP($B12&amp;"__wt",'SegEnds_Xtal_BW#'!$A:$AR,33,FALSE)</f>
        <v>39</v>
      </c>
      <c r="AH12">
        <f>VLOOKUP($B12&amp;"__wt",'SegEnds_Xtal_BW#'!$A:$AR,34,FALSE)</f>
        <v>69</v>
      </c>
    </row>
    <row r="13" spans="1:34" x14ac:dyDescent="0.2">
      <c r="A13" t="s">
        <v>92</v>
      </c>
      <c r="B13" t="str">
        <f>VLOOKUP(A13,Seqs!$A:$D,2,FALSE)</f>
        <v>ste2_yeast</v>
      </c>
      <c r="C13">
        <f>VLOOKUP($B13&amp;"__wt",'SegEnds_Xtal_BW#'!$A:$AR,3,FALSE)</f>
        <v>49</v>
      </c>
      <c r="D13">
        <f>VLOOKUP($B13&amp;"__wt",'SegEnds_Xtal_BW#'!$A:$AR,4,FALSE)</f>
        <v>59</v>
      </c>
      <c r="E13">
        <f>VLOOKUP($B13&amp;"__wt",'SegEnds_Xtal_BW#'!$A:$AR,5,FALSE)</f>
        <v>49</v>
      </c>
      <c r="F13">
        <f>VLOOKUP($B13&amp;"__wt",'SegEnds_Xtal_BW#'!$A:$AR,6,FALSE)</f>
        <v>50</v>
      </c>
      <c r="G13">
        <f>VLOOKUP($B13&amp;"__wt",'SegEnds_Xtal_BW#'!$A:$AR,7,FALSE)</f>
        <v>50</v>
      </c>
      <c r="H13">
        <f>VLOOKUP($B13&amp;"__wt",'SegEnds_Xtal_BW#'!$A:$AR,8,FALSE)</f>
        <v>55</v>
      </c>
      <c r="I13">
        <f>VLOOKUP($B13&amp;"__wt",'SegEnds_Xtal_BW#'!$A:$AR,9,FALSE)</f>
        <v>25</v>
      </c>
      <c r="J13">
        <f>VLOOKUP($B13&amp;"__wt",'SegEnds_Xtal_BW#'!$A:$AR,10,FALSE)</f>
        <v>60</v>
      </c>
      <c r="K13" t="s">
        <v>66</v>
      </c>
      <c r="L13" t="s">
        <v>66</v>
      </c>
      <c r="M13">
        <f>VLOOKUP($B13&amp;"__wt",'SegEnds_Xtal_BW#'!$A:$AR,13,FALSE)</f>
        <v>37</v>
      </c>
      <c r="N13">
        <f>VLOOKUP($B13&amp;"__wt",'SegEnds_Xtal_BW#'!$A:$AR,14,FALSE)</f>
        <v>63</v>
      </c>
      <c r="O13">
        <f>VLOOKUP($B13&amp;"__wt",'SegEnds_Xtal_BW#'!$A:$AR,15,FALSE)</f>
        <v>45</v>
      </c>
      <c r="P13">
        <f>VLOOKUP($B13&amp;"__wt",'SegEnds_Xtal_BW#'!$A:$AR,16,FALSE)</f>
        <v>60</v>
      </c>
      <c r="Q13">
        <f>VLOOKUP($B13&amp;"__wt",'SegEnds_Xtal_BW#'!$A:$AR,17,FALSE)</f>
        <v>22</v>
      </c>
      <c r="R13">
        <f>VLOOKUP($B13&amp;"__wt",'SegEnds_Xtal_BW#'!$A:$AR,18,FALSE)</f>
        <v>56</v>
      </c>
      <c r="S13" t="s">
        <v>66</v>
      </c>
      <c r="T13" t="s">
        <v>66</v>
      </c>
      <c r="U13">
        <f>VLOOKUP($B13&amp;"__wt",'SegEnds_Xtal_BW#'!$A:$AR,21,FALSE)</f>
        <v>33</v>
      </c>
      <c r="V13">
        <f>VLOOKUP($B13&amp;"__wt",'SegEnds_Xtal_BW#'!$A:$AR,22,FALSE)</f>
        <v>67</v>
      </c>
      <c r="W13" t="s">
        <v>66</v>
      </c>
      <c r="X13" t="s">
        <v>66</v>
      </c>
      <c r="Y13">
        <f>VLOOKUP($B13&amp;"__wt",'SegEnds_Xtal_BW#'!$A:$AR,25,FALSE)</f>
        <v>40</v>
      </c>
      <c r="Z13">
        <f>VLOOKUP($B13&amp;"__wt",'SegEnds_Xtal_BW#'!$A:$AR,26,FALSE)</f>
        <v>75</v>
      </c>
      <c r="AA13" t="s">
        <v>66</v>
      </c>
      <c r="AB13" t="s">
        <v>66</v>
      </c>
      <c r="AC13">
        <f>VLOOKUP($B13&amp;"__wt",'SegEnds_Xtal_BW#'!$A:$AR,29,FALSE)</f>
        <v>28</v>
      </c>
      <c r="AD13">
        <f>VLOOKUP($B13&amp;"__wt",'SegEnds_Xtal_BW#'!$A:$AR,30,FALSE)</f>
        <v>54</v>
      </c>
      <c r="AE13" t="s">
        <v>66</v>
      </c>
      <c r="AF13" t="s">
        <v>66</v>
      </c>
      <c r="AG13">
        <f>VLOOKUP($B13&amp;"__wt",'SegEnds_Xtal_BW#'!$A:$AR,33,FALSE)</f>
        <v>39</v>
      </c>
      <c r="AH13">
        <f>VLOOKUP($B13&amp;"__wt",'SegEnds_Xtal_BW#'!$A:$AR,34,FALSE)</f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"/>
  <sheetViews>
    <sheetView workbookViewId="0">
      <selection activeCell="X17" sqref="X17"/>
    </sheetView>
  </sheetViews>
  <sheetFormatPr baseColWidth="10" defaultRowHeight="16" x14ac:dyDescent="0.2"/>
  <cols>
    <col min="1" max="1" width="23.6640625" bestFit="1" customWidth="1"/>
    <col min="2" max="2" width="19.5" bestFit="1" customWidth="1"/>
    <col min="4" max="4" width="6.33203125" bestFit="1" customWidth="1"/>
    <col min="5" max="5" width="6.1640625" style="2" bestFit="1" customWidth="1"/>
    <col min="6" max="7" width="6.33203125" bestFit="1" customWidth="1"/>
    <col min="8" max="8" width="6.1640625" style="2" bestFit="1" customWidth="1"/>
    <col min="9" max="10" width="6.33203125" bestFit="1" customWidth="1"/>
    <col min="11" max="11" width="6.1640625" style="2" bestFit="1" customWidth="1"/>
    <col min="12" max="12" width="6.33203125" bestFit="1" customWidth="1"/>
    <col min="13" max="13" width="4.1640625" bestFit="1" customWidth="1"/>
    <col min="14" max="14" width="4.1640625" style="2" bestFit="1" customWidth="1"/>
    <col min="15" max="15" width="4.1640625" bestFit="1" customWidth="1"/>
    <col min="16" max="16" width="3.6640625" bestFit="1" customWidth="1"/>
    <col min="17" max="17" width="3.5" style="2" bestFit="1" customWidth="1"/>
    <col min="18" max="18" width="3.5" bestFit="1" customWidth="1"/>
    <col min="19" max="19" width="4.1640625" bestFit="1" customWidth="1"/>
    <col min="20" max="20" width="4.1640625" style="2" bestFit="1" customWidth="1"/>
    <col min="21" max="21" width="4.1640625" bestFit="1" customWidth="1"/>
    <col min="22" max="22" width="6.33203125" bestFit="1" customWidth="1"/>
    <col min="23" max="23" width="6.1640625" style="2" bestFit="1" customWidth="1"/>
    <col min="24" max="24" width="6.33203125" bestFit="1" customWidth="1"/>
    <col min="25" max="25" width="4.1640625" bestFit="1" customWidth="1"/>
    <col min="26" max="26" width="4.1640625" style="2" bestFit="1" customWidth="1"/>
    <col min="27" max="27" width="4.1640625" bestFit="1" customWidth="1"/>
    <col min="28" max="28" width="3.6640625" bestFit="1" customWidth="1"/>
    <col min="29" max="29" width="3.5" style="2" bestFit="1" customWidth="1"/>
    <col min="30" max="30" width="3.5" bestFit="1" customWidth="1"/>
    <col min="31" max="31" width="4.1640625" bestFit="1" customWidth="1"/>
    <col min="32" max="32" width="4.1640625" style="2" bestFit="1" customWidth="1"/>
    <col min="33" max="33" width="4.1640625" bestFit="1" customWidth="1"/>
    <col min="34" max="34" width="4.1640625" customWidth="1"/>
    <col min="35" max="35" width="4" style="2" bestFit="1" customWidth="1"/>
    <col min="36" max="36" width="4.1640625" customWidth="1"/>
    <col min="37" max="37" width="4.1640625" bestFit="1" customWidth="1"/>
    <col min="38" max="38" width="4.1640625" style="2" bestFit="1" customWidth="1"/>
    <col min="39" max="39" width="4.1640625" bestFit="1" customWidth="1"/>
    <col min="40" max="40" width="3.6640625" bestFit="1" customWidth="1"/>
    <col min="41" max="41" width="3.5" style="2" bestFit="1" customWidth="1"/>
    <col min="42" max="42" width="3.5" bestFit="1" customWidth="1"/>
    <col min="43" max="43" width="4.1640625" bestFit="1" customWidth="1"/>
    <col min="44" max="44" width="4.1640625" style="2" bestFit="1" customWidth="1"/>
    <col min="45" max="45" width="4.1640625" bestFit="1" customWidth="1"/>
    <col min="46" max="46" width="4.1640625" customWidth="1"/>
    <col min="47" max="47" width="4" style="2" bestFit="1" customWidth="1"/>
    <col min="48" max="48" width="4.1640625" customWidth="1"/>
    <col min="49" max="49" width="4.1640625" bestFit="1" customWidth="1"/>
    <col min="50" max="50" width="4.1640625" style="2" bestFit="1" customWidth="1"/>
    <col min="51" max="51" width="4.1640625" bestFit="1" customWidth="1"/>
    <col min="52" max="52" width="4.1640625" customWidth="1"/>
    <col min="53" max="53" width="4.1640625" style="2" customWidth="1"/>
    <col min="54" max="55" width="4.1640625" customWidth="1"/>
    <col min="56" max="56" width="6.5" bestFit="1" customWidth="1"/>
    <col min="57" max="62" width="6.33203125" bestFit="1" customWidth="1"/>
    <col min="63" max="63" width="5.83203125" bestFit="1" customWidth="1"/>
    <col min="64" max="75" width="5.33203125" bestFit="1" customWidth="1"/>
    <col min="76" max="76" width="5.6640625" bestFit="1" customWidth="1"/>
  </cols>
  <sheetData>
    <row r="1" spans="1:76" s="5" customFormat="1" x14ac:dyDescent="0.2">
      <c r="A1" s="5" t="s">
        <v>29</v>
      </c>
      <c r="B1" s="5" t="s">
        <v>0</v>
      </c>
      <c r="C1" s="5" t="s">
        <v>30</v>
      </c>
      <c r="D1" s="5" t="s">
        <v>93</v>
      </c>
      <c r="E1" s="6" t="s">
        <v>99</v>
      </c>
      <c r="F1" s="5" t="s">
        <v>94</v>
      </c>
      <c r="G1" s="5" t="s">
        <v>95</v>
      </c>
      <c r="H1" s="6" t="s">
        <v>100</v>
      </c>
      <c r="I1" s="5" t="s">
        <v>96</v>
      </c>
      <c r="J1" s="5" t="s">
        <v>97</v>
      </c>
      <c r="K1" s="6" t="s">
        <v>101</v>
      </c>
      <c r="L1" s="5" t="s">
        <v>98</v>
      </c>
      <c r="M1" s="5" t="s">
        <v>2</v>
      </c>
      <c r="N1" s="6" t="s">
        <v>22</v>
      </c>
      <c r="O1" s="5" t="s">
        <v>3</v>
      </c>
      <c r="P1" s="5" t="s">
        <v>64</v>
      </c>
      <c r="Q1" s="6" t="s">
        <v>63</v>
      </c>
      <c r="R1" s="5" t="s">
        <v>65</v>
      </c>
      <c r="S1" s="5" t="s">
        <v>4</v>
      </c>
      <c r="T1" s="6" t="s">
        <v>23</v>
      </c>
      <c r="U1" s="5" t="s">
        <v>5</v>
      </c>
      <c r="V1" s="5" t="s">
        <v>102</v>
      </c>
      <c r="W1" s="6" t="s">
        <v>104</v>
      </c>
      <c r="X1" s="5" t="s">
        <v>103</v>
      </c>
      <c r="Y1" s="5" t="s">
        <v>6</v>
      </c>
      <c r="Z1" s="6" t="s">
        <v>24</v>
      </c>
      <c r="AA1" s="5" t="s">
        <v>7</v>
      </c>
      <c r="AB1" s="5" t="s">
        <v>68</v>
      </c>
      <c r="AC1" s="6" t="s">
        <v>67</v>
      </c>
      <c r="AD1" s="5" t="s">
        <v>69</v>
      </c>
      <c r="AE1" s="5" t="s">
        <v>8</v>
      </c>
      <c r="AF1" s="6" t="s">
        <v>25</v>
      </c>
      <c r="AG1" s="5" t="s">
        <v>9</v>
      </c>
      <c r="AH1" s="5" t="s">
        <v>71</v>
      </c>
      <c r="AI1" s="6" t="s">
        <v>70</v>
      </c>
      <c r="AJ1" s="5" t="s">
        <v>72</v>
      </c>
      <c r="AK1" s="5" t="s">
        <v>10</v>
      </c>
      <c r="AL1" s="6" t="s">
        <v>26</v>
      </c>
      <c r="AM1" s="5" t="s">
        <v>11</v>
      </c>
      <c r="AN1" s="5" t="s">
        <v>74</v>
      </c>
      <c r="AO1" s="6" t="s">
        <v>73</v>
      </c>
      <c r="AP1" s="5" t="s">
        <v>75</v>
      </c>
      <c r="AQ1" s="5" t="s">
        <v>12</v>
      </c>
      <c r="AR1" s="6" t="s">
        <v>27</v>
      </c>
      <c r="AS1" s="5" t="s">
        <v>13</v>
      </c>
      <c r="AT1" s="5" t="s">
        <v>77</v>
      </c>
      <c r="AU1" s="6" t="s">
        <v>76</v>
      </c>
      <c r="AV1" s="5" t="s">
        <v>78</v>
      </c>
      <c r="AW1" s="5" t="s">
        <v>14</v>
      </c>
      <c r="AX1" s="6" t="s">
        <v>28</v>
      </c>
      <c r="AY1" s="5" t="s">
        <v>15</v>
      </c>
      <c r="AZ1" s="5" t="s">
        <v>79</v>
      </c>
      <c r="BA1" s="6" t="s">
        <v>80</v>
      </c>
      <c r="BB1" s="5" t="s">
        <v>81</v>
      </c>
      <c r="BE1" s="5" t="s">
        <v>93</v>
      </c>
      <c r="BF1" s="5" t="s">
        <v>94</v>
      </c>
      <c r="BG1" s="5" t="s">
        <v>95</v>
      </c>
      <c r="BH1" s="5" t="s">
        <v>96</v>
      </c>
      <c r="BI1" s="5" t="s">
        <v>97</v>
      </c>
      <c r="BJ1" s="5" t="s">
        <v>98</v>
      </c>
      <c r="BK1" s="5" t="s">
        <v>2</v>
      </c>
      <c r="BL1" s="5" t="s">
        <v>3</v>
      </c>
      <c r="BM1" s="5" t="s">
        <v>4</v>
      </c>
      <c r="BN1" s="5" t="s">
        <v>5</v>
      </c>
      <c r="BO1" s="5" t="s">
        <v>6</v>
      </c>
      <c r="BP1" s="5" t="s">
        <v>7</v>
      </c>
      <c r="BQ1" s="5" t="s">
        <v>8</v>
      </c>
      <c r="BR1" s="5" t="s">
        <v>9</v>
      </c>
      <c r="BS1" s="5" t="s">
        <v>10</v>
      </c>
      <c r="BT1" s="5" t="s">
        <v>11</v>
      </c>
      <c r="BU1" s="5" t="s">
        <v>12</v>
      </c>
      <c r="BV1" s="5" t="s">
        <v>13</v>
      </c>
      <c r="BW1" s="5" t="s">
        <v>14</v>
      </c>
      <c r="BX1" s="5" t="s">
        <v>15</v>
      </c>
    </row>
    <row r="2" spans="1:76" x14ac:dyDescent="0.2">
      <c r="A2" t="str">
        <f t="shared" ref="A2:A8" si="0">CONCATENATE(B2,"__wt")</f>
        <v>ste2_yeast__wt</v>
      </c>
      <c r="B2" t="s">
        <v>17</v>
      </c>
      <c r="C2" t="str">
        <f>VLOOKUP(B2,Seqs!A:B,2,FALSE)</f>
        <v>ste2_yeast</v>
      </c>
      <c r="D2">
        <f>VLOOKUP($B2,'SegEnds_NonXtal_BW#'!$A:$AR,3,FALSE)+E2-50</f>
        <v>18</v>
      </c>
      <c r="E2" s="2">
        <v>19</v>
      </c>
      <c r="F2">
        <f>VLOOKUP($B2,'SegEnds_NonXtal_BW#'!$A:$AR,4,FALSE)+E2-50</f>
        <v>28</v>
      </c>
      <c r="G2">
        <f>VLOOKUP($B2,'SegEnds_NonXtal_BW#'!$A:$AR,5,FALSE)+H2-50</f>
        <v>29</v>
      </c>
      <c r="H2" s="2">
        <v>30</v>
      </c>
      <c r="I2">
        <f>VLOOKUP($B2,'SegEnds_NonXtal_BW#'!$A:$AR,6,FALSE)+H2-50</f>
        <v>30</v>
      </c>
      <c r="J2">
        <f>VLOOKUP($B2,'SegEnds_NonXtal_BW#'!$A:$AR,7,FALSE)+K2-50</f>
        <v>31</v>
      </c>
      <c r="K2" s="2">
        <v>31</v>
      </c>
      <c r="L2">
        <f>VLOOKUP($B2,'SegEnds_NonXtal_BW#'!$A:$AR,8,FALSE)+K2-50</f>
        <v>36</v>
      </c>
      <c r="M2">
        <f>VLOOKUP($B2,'SegEnds_NonXtal_BW#'!$A:$AR,9,FALSE)+N2-50</f>
        <v>37</v>
      </c>
      <c r="N2" s="2">
        <v>62</v>
      </c>
      <c r="O2" s="1">
        <f>VLOOKUP($B2,'SegEnds_NonXtal_BW#'!$A:$AR,10,FALSE)+N2-50</f>
        <v>72</v>
      </c>
      <c r="P2" s="1" t="s">
        <v>66</v>
      </c>
      <c r="Q2" s="2" t="s">
        <v>66</v>
      </c>
      <c r="R2" s="1" t="s">
        <v>66</v>
      </c>
      <c r="S2">
        <f>VLOOKUP($B2,'SegEnds_NonXtal_BW#'!$A:$AR,13,FALSE)+T2-50</f>
        <v>78</v>
      </c>
      <c r="T2" s="2">
        <v>91</v>
      </c>
      <c r="U2">
        <f>VLOOKUP($B2,'SegEnds_NonXtal_BW#'!$A:$AR,14,FALSE)+T2-50</f>
        <v>104</v>
      </c>
      <c r="V2" s="1">
        <f>VLOOKUP($B2,'SegEnds_NonXtal_BW#'!$A:$AR,15,FALSE)+W2-50</f>
        <v>105</v>
      </c>
      <c r="W2" s="2">
        <v>110</v>
      </c>
      <c r="X2" s="1">
        <f>VLOOKUP($B2,'SegEnds_NonXtal_BW#'!$A:$AR,16,FALSE)+W2-50</f>
        <v>120</v>
      </c>
      <c r="Y2">
        <f>VLOOKUP($B2,'SegEnds_NonXtal_BW#'!$A:$AR,17,FALSE)+Z2-50</f>
        <v>121</v>
      </c>
      <c r="Z2" s="2">
        <v>149</v>
      </c>
      <c r="AA2" s="1">
        <f>VLOOKUP($B2,'SegEnds_NonXtal_BW#'!$A:$AR,18,FALSE)+Z2-50</f>
        <v>155</v>
      </c>
      <c r="AB2" s="1" t="s">
        <v>66</v>
      </c>
      <c r="AC2" s="2" t="s">
        <v>66</v>
      </c>
      <c r="AD2" s="1" t="s">
        <v>66</v>
      </c>
      <c r="AE2" s="1">
        <f>VLOOKUP($B2,'SegEnds_NonXtal_BW#'!$A:$AR,21,FALSE)+AF2-50</f>
        <v>161</v>
      </c>
      <c r="AF2" s="2">
        <v>178</v>
      </c>
      <c r="AG2">
        <f>VLOOKUP($B2,'SegEnds_NonXtal_BW#'!$A:$AR,22,FALSE)+AF2-50</f>
        <v>195</v>
      </c>
      <c r="AH2" s="1" t="s">
        <v>66</v>
      </c>
      <c r="AI2" s="2" t="s">
        <v>66</v>
      </c>
      <c r="AJ2" s="1" t="s">
        <v>66</v>
      </c>
      <c r="AK2">
        <f>VLOOKUP($B2,'SegEnds_NonXtal_BW#'!$A:$AR,25,FALSE)+AL2-50</f>
        <v>201</v>
      </c>
      <c r="AL2" s="2">
        <v>211</v>
      </c>
      <c r="AM2">
        <f>VLOOKUP($B2,'SegEnds_NonXtal_BW#'!$A:$AR,26,FALSE)+AL2-50</f>
        <v>236</v>
      </c>
      <c r="AN2" s="1" t="s">
        <v>66</v>
      </c>
      <c r="AO2" s="2" t="s">
        <v>66</v>
      </c>
      <c r="AP2" s="1" t="s">
        <v>66</v>
      </c>
      <c r="AQ2">
        <f>VLOOKUP($B2,'SegEnds_NonXtal_BW#'!$A:$AR,29,FALSE)+AR2-50</f>
        <v>242</v>
      </c>
      <c r="AR2" s="2">
        <v>264</v>
      </c>
      <c r="AS2">
        <f>VLOOKUP($B2,'SegEnds_NonXtal_BW#'!$A:$AR,30,FALSE)+AR2-50</f>
        <v>268</v>
      </c>
      <c r="AT2" s="1" t="s">
        <v>66</v>
      </c>
      <c r="AU2" s="2" t="s">
        <v>66</v>
      </c>
      <c r="AV2" s="1" t="s">
        <v>66</v>
      </c>
      <c r="AW2">
        <f>VLOOKUP($B2,'SegEnds_NonXtal_BW#'!$A:$AR,33,FALSE)+AX2-50</f>
        <v>276</v>
      </c>
      <c r="AX2" s="2">
        <v>287</v>
      </c>
      <c r="AY2">
        <f>VLOOKUP($B2,'SegEnds_NonXtal_BW#'!$A:$AR,34,FALSE)+AX2-50</f>
        <v>306</v>
      </c>
      <c r="AZ2" t="s">
        <v>66</v>
      </c>
      <c r="BA2" s="2" t="s">
        <v>66</v>
      </c>
      <c r="BB2" t="s">
        <v>66</v>
      </c>
      <c r="BD2" t="b">
        <f>IF(COUNTIF('SegEnds_Xtal_Prot#'!B:B,'SegEnds_NonXtal_Prot#'!B2)&gt;0,IF(COUNTIF(BK2:BX2,TRUE)=14,TRUE,FALSE),"NoXtal")</f>
        <v>1</v>
      </c>
      <c r="BE2" t="b">
        <f>IF(D2=VLOOKUP($A2,'SegEnds_Xtal_Prot#'!$A:$BO,5,FALSE),TRUE,FALSE)</f>
        <v>1</v>
      </c>
      <c r="BF2" t="b">
        <f>IF(F2=VLOOKUP($A2,'SegEnds_Xtal_Prot#'!$A:$BO,7,FALSE),TRUE,FALSE)</f>
        <v>1</v>
      </c>
      <c r="BG2" t="b">
        <f>IF(G2=VLOOKUP($A2,'SegEnds_Xtal_Prot#'!$A:$BO,9,FALSE),TRUE,FALSE)</f>
        <v>1</v>
      </c>
      <c r="BH2" t="b">
        <f>IF(I2=VLOOKUP($A2,'SegEnds_Xtal_Prot#'!$A:$BO,11,FALSE),TRUE,FALSE)</f>
        <v>1</v>
      </c>
      <c r="BI2" t="b">
        <f>IF(J2=VLOOKUP($A2,'SegEnds_Xtal_Prot#'!$A:$BO,13,FALSE),TRUE,FALSE)</f>
        <v>1</v>
      </c>
      <c r="BJ2" t="b">
        <f>IF(L2=VLOOKUP($A2,'SegEnds_Xtal_Prot#'!$A:$BO,15,FALSE),TRUE,FALSE)</f>
        <v>1</v>
      </c>
      <c r="BK2" t="b">
        <f>IF(M2=VLOOKUP($A2,'SegEnds_Xtal_Prot#'!$A:$BO,17,FALSE),TRUE,FALSE)</f>
        <v>1</v>
      </c>
      <c r="BL2" t="b">
        <f>IF(O2=VLOOKUP($A2,'SegEnds_Xtal_Prot#'!$A:$BO,19,FALSE),TRUE,FALSE)</f>
        <v>1</v>
      </c>
      <c r="BM2" t="b">
        <f>IF(S2=VLOOKUP($A2,'SegEnds_Xtal_Prot#'!$A:$BO,25,FALSE),TRUE,FALSE)</f>
        <v>1</v>
      </c>
      <c r="BN2" t="b">
        <f>IF(U2=VLOOKUP($A2,'SegEnds_Xtal_Prot#'!$A:$BO,27,FALSE),TRUE,FALSE)</f>
        <v>1</v>
      </c>
      <c r="BO2" t="b">
        <f>IF(Y2=VLOOKUP($A2,'SegEnds_Xtal_Prot#'!$A:$BO,33,FALSE),TRUE,FALSE)</f>
        <v>1</v>
      </c>
      <c r="BP2" t="b">
        <f>IF(AA2=VLOOKUP($A2,'SegEnds_Xtal_Prot#'!$A:$BO,35,FALSE),TRUE,FALSE)</f>
        <v>1</v>
      </c>
      <c r="BQ2" t="b">
        <f>IF(AE2=VLOOKUP($A2,'SegEnds_Xtal_Prot#'!$A:$BO,41,FALSE),TRUE,FALSE)</f>
        <v>1</v>
      </c>
      <c r="BR2" t="b">
        <f>IF(AG2=VLOOKUP($A2,'SegEnds_Xtal_Prot#'!$A:$BO,43,FALSE),TRUE,FALSE)</f>
        <v>1</v>
      </c>
      <c r="BS2" t="b">
        <f>IF(AK2=VLOOKUP($A2,'SegEnds_Xtal_Prot#'!$A:$BO,49,FALSE),TRUE,FALSE)</f>
        <v>1</v>
      </c>
      <c r="BT2" t="b">
        <f>IF(AM2=VLOOKUP($A2,'SegEnds_Xtal_Prot#'!$A:$BO,51,FALSE),TRUE,FALSE)</f>
        <v>1</v>
      </c>
      <c r="BU2" t="b">
        <f>IF(AQ2=VLOOKUP($A2,'SegEnds_Xtal_Prot#'!$A:$BO,57,FALSE),TRUE,FALSE)</f>
        <v>1</v>
      </c>
      <c r="BV2" t="b">
        <f>IF(AS2=VLOOKUP($A2,'SegEnds_Xtal_Prot#'!$A:$BO,59,FALSE),TRUE,FALSE)</f>
        <v>1</v>
      </c>
      <c r="BW2" t="b">
        <f>IF(AW2=VLOOKUP($A2,'SegEnds_Xtal_Prot#'!$A:$BO,65,FALSE),TRUE,FALSE)</f>
        <v>1</v>
      </c>
      <c r="BX2" t="b">
        <f>IF(AY2=VLOOKUP($A2,'SegEnds_Xtal_Prot#'!$A:$BO,67,FALSE),TRUE,FALSE)</f>
        <v>1</v>
      </c>
    </row>
    <row r="3" spans="1:76" x14ac:dyDescent="0.2">
      <c r="A3" t="str">
        <f t="shared" si="0"/>
        <v>A0A0W0DD93_CANGB__wt</v>
      </c>
      <c r="B3" s="4" t="s">
        <v>31</v>
      </c>
      <c r="C3" t="str">
        <f>VLOOKUP(B3,Seqs!A:B,2,FALSE)</f>
        <v>ste2_yeast</v>
      </c>
      <c r="D3">
        <f>VLOOKUP($B3,'SegEnds_NonXtal_BW#'!$A:$AR,3,FALSE)+E3-50</f>
        <v>11</v>
      </c>
      <c r="E3" s="2">
        <v>12</v>
      </c>
      <c r="F3">
        <f>VLOOKUP($B3,'SegEnds_NonXtal_BW#'!$A:$AR,4,FALSE)+E3-50</f>
        <v>21</v>
      </c>
      <c r="G3">
        <f>VLOOKUP($B3,'SegEnds_NonXtal_BW#'!$A:$AR,5,FALSE)+H3-50</f>
        <v>22</v>
      </c>
      <c r="H3" s="2">
        <v>23</v>
      </c>
      <c r="I3">
        <f>VLOOKUP($B3,'SegEnds_NonXtal_BW#'!$A:$AR,6,FALSE)+H3-50</f>
        <v>23</v>
      </c>
      <c r="J3">
        <f>VLOOKUP($B3,'SegEnds_NonXtal_BW#'!$A:$AR,7,FALSE)+K3-50</f>
        <v>24</v>
      </c>
      <c r="K3" s="2">
        <v>24</v>
      </c>
      <c r="L3">
        <f>VLOOKUP($B3,'SegEnds_NonXtal_BW#'!$A:$AR,8,FALSE)+K3-50</f>
        <v>29</v>
      </c>
      <c r="M3">
        <f>VLOOKUP($B3,'SegEnds_NonXtal_BW#'!$A:$AR,9,FALSE)+N3-50</f>
        <v>30</v>
      </c>
      <c r="N3" s="2">
        <v>55</v>
      </c>
      <c r="O3" s="1">
        <f>VLOOKUP($B3,'SegEnds_NonXtal_BW#'!$A:$AR,10,FALSE)+N3-50</f>
        <v>65</v>
      </c>
      <c r="P3" s="1" t="s">
        <v>66</v>
      </c>
      <c r="Q3" s="2" t="s">
        <v>66</v>
      </c>
      <c r="R3" s="1" t="s">
        <v>66</v>
      </c>
      <c r="S3">
        <f>VLOOKUP($B3,'SegEnds_NonXtal_BW#'!$A:$AR,13,FALSE)+T3-50</f>
        <v>71</v>
      </c>
      <c r="T3" s="2">
        <v>84</v>
      </c>
      <c r="U3">
        <f>VLOOKUP($B3,'SegEnds_NonXtal_BW#'!$A:$AR,14,FALSE)+T3-50</f>
        <v>97</v>
      </c>
      <c r="V3" s="1">
        <f>VLOOKUP($B3,'SegEnds_NonXtal_BW#'!$A:$AR,15,FALSE)+W3-50</f>
        <v>98</v>
      </c>
      <c r="W3" s="2">
        <v>103</v>
      </c>
      <c r="X3" s="1">
        <f>VLOOKUP($B3,'SegEnds_NonXtal_BW#'!$A:$AR,16,FALSE)+W3-50</f>
        <v>113</v>
      </c>
      <c r="Y3">
        <f>VLOOKUP($B3,'SegEnds_NonXtal_BW#'!$A:$AR,17,FALSE)+Z3-50</f>
        <v>114</v>
      </c>
      <c r="Z3" s="2">
        <v>142</v>
      </c>
      <c r="AA3" s="1">
        <f>VLOOKUP($B3,'SegEnds_NonXtal_BW#'!$A:$AR,18,FALSE)+Z3-50</f>
        <v>148</v>
      </c>
      <c r="AB3" s="1" t="s">
        <v>66</v>
      </c>
      <c r="AC3" s="2" t="s">
        <v>66</v>
      </c>
      <c r="AD3" s="1" t="s">
        <v>66</v>
      </c>
      <c r="AE3" s="1">
        <f>VLOOKUP($B3,'SegEnds_NonXtal_BW#'!$A:$AR,21,FALSE)+AF3-50</f>
        <v>154</v>
      </c>
      <c r="AF3" s="2">
        <v>171</v>
      </c>
      <c r="AG3">
        <f>VLOOKUP($B3,'SegEnds_NonXtal_BW#'!$A:$AR,22,FALSE)+AF3-50</f>
        <v>188</v>
      </c>
      <c r="AH3" s="1" t="s">
        <v>66</v>
      </c>
      <c r="AI3" s="2" t="s">
        <v>66</v>
      </c>
      <c r="AJ3" s="1" t="s">
        <v>66</v>
      </c>
      <c r="AK3">
        <f>VLOOKUP($B3,'SegEnds_NonXtal_BW#'!$A:$AR,25,FALSE)+AL3-50</f>
        <v>194</v>
      </c>
      <c r="AL3" s="2">
        <v>204</v>
      </c>
      <c r="AM3">
        <f>VLOOKUP($B3,'SegEnds_NonXtal_BW#'!$A:$AR,26,FALSE)+AL3-50</f>
        <v>229</v>
      </c>
      <c r="AN3" s="1" t="s">
        <v>66</v>
      </c>
      <c r="AO3" s="2" t="s">
        <v>66</v>
      </c>
      <c r="AP3" s="1" t="s">
        <v>66</v>
      </c>
      <c r="AQ3">
        <f>VLOOKUP($B3,'SegEnds_NonXtal_BW#'!$A:$AR,29,FALSE)+AR3-50</f>
        <v>235</v>
      </c>
      <c r="AR3" s="2">
        <v>257</v>
      </c>
      <c r="AS3">
        <f>VLOOKUP($B3,'SegEnds_NonXtal_BW#'!$A:$AR,30,FALSE)+AR3-50</f>
        <v>261</v>
      </c>
      <c r="AT3" s="1" t="s">
        <v>66</v>
      </c>
      <c r="AU3" s="2" t="s">
        <v>66</v>
      </c>
      <c r="AV3" s="1" t="s">
        <v>66</v>
      </c>
      <c r="AW3">
        <f>VLOOKUP($B3,'SegEnds_NonXtal_BW#'!$A:$AR,33,FALSE)+AX3-50</f>
        <v>269</v>
      </c>
      <c r="AX3" s="2">
        <v>280</v>
      </c>
      <c r="AY3">
        <f>VLOOKUP($B3,'SegEnds_NonXtal_BW#'!$A:$AR,34,FALSE)+AX3-50</f>
        <v>299</v>
      </c>
      <c r="AZ3" t="s">
        <v>66</v>
      </c>
      <c r="BA3" s="2" t="s">
        <v>66</v>
      </c>
      <c r="BB3" t="s">
        <v>66</v>
      </c>
      <c r="BD3" t="str">
        <f>IF(COUNTIF('SegEnds_Xtal_Prot#'!B:B,'SegEnds_NonXtal_Prot#'!B3)&gt;0,IF(COUNTIF(BK3:BX3,TRUE)=14,TRUE,FALSE),"NoXtal")</f>
        <v>NoXtal</v>
      </c>
      <c r="BE3" t="e">
        <f>IF(D3=VLOOKUP($A3,'SegEnds_Xtal_Prot#'!$A:$BO,5,FALSE),TRUE,FALSE)</f>
        <v>#N/A</v>
      </c>
      <c r="BF3" t="e">
        <f>IF(F3=VLOOKUP($A3,'SegEnds_Xtal_Prot#'!$A:$BO,7,FALSE),TRUE,FALSE)</f>
        <v>#N/A</v>
      </c>
      <c r="BG3" t="e">
        <f>IF(G3=VLOOKUP($A3,'SegEnds_Xtal_Prot#'!$A:$BO,9,FALSE),TRUE,FALSE)</f>
        <v>#N/A</v>
      </c>
      <c r="BH3" t="e">
        <f>IF(I3=VLOOKUP($A3,'SegEnds_Xtal_Prot#'!$A:$BO,11,FALSE),TRUE,FALSE)</f>
        <v>#N/A</v>
      </c>
      <c r="BI3" t="e">
        <f>IF(J3=VLOOKUP($A3,'SegEnds_Xtal_Prot#'!$A:$BO,13,FALSE),TRUE,FALSE)</f>
        <v>#N/A</v>
      </c>
      <c r="BJ3" t="e">
        <f>IF(L3=VLOOKUP($A3,'SegEnds_Xtal_Prot#'!$A:$BO,15,FALSE),TRUE,FALSE)</f>
        <v>#N/A</v>
      </c>
      <c r="BK3" t="e">
        <f>IF(M3=VLOOKUP($A3,'SegEnds_Xtal_Prot#'!$A:$BO,17,FALSE),TRUE,FALSE)</f>
        <v>#N/A</v>
      </c>
      <c r="BL3" t="e">
        <f>IF(O3=VLOOKUP($A3,'SegEnds_Xtal_Prot#'!$A:$BO,19,FALSE),TRUE,FALSE)</f>
        <v>#N/A</v>
      </c>
      <c r="BM3" t="e">
        <f>IF(S3=VLOOKUP($A3,'SegEnds_Xtal_Prot#'!$A:$BO,25,FALSE),TRUE,FALSE)</f>
        <v>#N/A</v>
      </c>
      <c r="BN3" t="e">
        <f>IF(U3=VLOOKUP($A3,'SegEnds_Xtal_Prot#'!$A:$BO,27,FALSE),TRUE,FALSE)</f>
        <v>#N/A</v>
      </c>
      <c r="BO3" t="e">
        <f>IF(Y3=VLOOKUP($A3,'SegEnds_Xtal_Prot#'!$A:$BO,33,FALSE),TRUE,FALSE)</f>
        <v>#N/A</v>
      </c>
      <c r="BP3" t="e">
        <f>IF(AA3=VLOOKUP($A3,'SegEnds_Xtal_Prot#'!$A:$BO,35,FALSE),TRUE,FALSE)</f>
        <v>#N/A</v>
      </c>
      <c r="BQ3" t="e">
        <f>IF(AE3=VLOOKUP($A3,'SegEnds_Xtal_Prot#'!$A:$BO,41,FALSE),TRUE,FALSE)</f>
        <v>#N/A</v>
      </c>
      <c r="BR3" t="e">
        <f>IF(AG3=VLOOKUP($A3,'SegEnds_Xtal_Prot#'!$A:$BO,43,FALSE),TRUE,FALSE)</f>
        <v>#N/A</v>
      </c>
      <c r="BS3" t="e">
        <f>IF(AK3=VLOOKUP($A3,'SegEnds_Xtal_Prot#'!$A:$BO,49,FALSE),TRUE,FALSE)</f>
        <v>#N/A</v>
      </c>
      <c r="BT3" t="e">
        <f>IF(AM3=VLOOKUP($A3,'SegEnds_Xtal_Prot#'!$A:$BO,51,FALSE),TRUE,FALSE)</f>
        <v>#N/A</v>
      </c>
      <c r="BU3" t="e">
        <f>IF(AQ3=VLOOKUP($A3,'SegEnds_Xtal_Prot#'!$A:$BO,57,FALSE),TRUE,FALSE)</f>
        <v>#N/A</v>
      </c>
      <c r="BV3" t="e">
        <f>IF(AS3=VLOOKUP($A3,'SegEnds_Xtal_Prot#'!$A:$BO,59,FALSE),TRUE,FALSE)</f>
        <v>#N/A</v>
      </c>
      <c r="BW3" t="e">
        <f>IF(AW3=VLOOKUP($A3,'SegEnds_Xtal_Prot#'!$A:$BO,65,FALSE),TRUE,FALSE)</f>
        <v>#N/A</v>
      </c>
      <c r="BX3" t="e">
        <f>IF(AY3=VLOOKUP($A3,'SegEnds_Xtal_Prot#'!$A:$BO,67,FALSE),TRUE,FALSE)</f>
        <v>#N/A</v>
      </c>
    </row>
    <row r="4" spans="1:76" x14ac:dyDescent="0.2">
      <c r="A4" t="str">
        <f t="shared" si="0"/>
        <v>Q8WZM9_SORMA__wt</v>
      </c>
      <c r="B4" t="s">
        <v>33</v>
      </c>
      <c r="C4" t="str">
        <f>VLOOKUP(B4,Seqs!A:B,2,FALSE)</f>
        <v>ste2_yeast</v>
      </c>
      <c r="D4">
        <f>VLOOKUP($B4,'SegEnds_NonXtal_BW#'!$A:$AR,3,FALSE)+E4-50</f>
        <v>35</v>
      </c>
      <c r="E4" s="2">
        <v>36</v>
      </c>
      <c r="F4">
        <f>VLOOKUP($B4,'SegEnds_NonXtal_BW#'!$A:$AR,4,FALSE)+E4-50</f>
        <v>45</v>
      </c>
      <c r="G4">
        <f>VLOOKUP($B4,'SegEnds_NonXtal_BW#'!$A:$AR,5,FALSE)+H4-50</f>
        <v>46</v>
      </c>
      <c r="H4" s="2">
        <v>47</v>
      </c>
      <c r="I4">
        <f>VLOOKUP($B4,'SegEnds_NonXtal_BW#'!$A:$AR,6,FALSE)+H4-50</f>
        <v>47</v>
      </c>
      <c r="J4">
        <f>VLOOKUP($B4,'SegEnds_NonXtal_BW#'!$A:$AR,7,FALSE)+K4-50</f>
        <v>48</v>
      </c>
      <c r="K4" s="2">
        <v>48</v>
      </c>
      <c r="L4">
        <f>VLOOKUP($B4,'SegEnds_NonXtal_BW#'!$A:$AR,8,FALSE)+K4-50</f>
        <v>53</v>
      </c>
      <c r="M4">
        <f>VLOOKUP($B4,'SegEnds_NonXtal_BW#'!$A:$AR,9,FALSE)+N4-50</f>
        <v>54</v>
      </c>
      <c r="N4" s="2">
        <v>79</v>
      </c>
      <c r="O4" s="1">
        <f>VLOOKUP($B4,'SegEnds_NonXtal_BW#'!$A:$AR,10,FALSE)+N4-50</f>
        <v>89</v>
      </c>
      <c r="P4" s="1" t="s">
        <v>66</v>
      </c>
      <c r="Q4" s="2" t="s">
        <v>66</v>
      </c>
      <c r="R4" s="1" t="s">
        <v>66</v>
      </c>
      <c r="S4">
        <f>VLOOKUP($B4,'SegEnds_NonXtal_BW#'!$A:$AR,13,FALSE)+T4-50</f>
        <v>97</v>
      </c>
      <c r="T4" s="2">
        <v>110</v>
      </c>
      <c r="U4">
        <f>VLOOKUP($B4,'SegEnds_NonXtal_BW#'!$A:$AR,14,FALSE)+T4-50</f>
        <v>123</v>
      </c>
      <c r="V4" s="1">
        <f>VLOOKUP($B4,'SegEnds_NonXtal_BW#'!$A:$AR,15,FALSE)+W4-50</f>
        <v>124</v>
      </c>
      <c r="W4" s="2">
        <v>129</v>
      </c>
      <c r="X4" s="1">
        <f>VLOOKUP($B4,'SegEnds_NonXtal_BW#'!$A:$AR,16,FALSE)+W4-50</f>
        <v>139</v>
      </c>
      <c r="Y4">
        <f>VLOOKUP($B4,'SegEnds_NonXtal_BW#'!$A:$AR,17,FALSE)+Z4-50</f>
        <v>140</v>
      </c>
      <c r="Z4" s="2">
        <v>168</v>
      </c>
      <c r="AA4" s="1">
        <f>VLOOKUP($B4,'SegEnds_NonXtal_BW#'!$A:$AR,18,FALSE)+Z4-50</f>
        <v>174</v>
      </c>
      <c r="AB4" s="1" t="s">
        <v>66</v>
      </c>
      <c r="AC4" s="2" t="s">
        <v>66</v>
      </c>
      <c r="AD4" s="1" t="s">
        <v>66</v>
      </c>
      <c r="AE4" s="1">
        <f>VLOOKUP($B4,'SegEnds_NonXtal_BW#'!$A:$AR,21,FALSE)+AF4-50</f>
        <v>179</v>
      </c>
      <c r="AF4" s="2">
        <v>196</v>
      </c>
      <c r="AG4">
        <f>VLOOKUP($B4,'SegEnds_NonXtal_BW#'!$A:$AR,22,FALSE)+AF4-50</f>
        <v>213</v>
      </c>
      <c r="AH4" s="1" t="s">
        <v>66</v>
      </c>
      <c r="AI4" s="2" t="s">
        <v>66</v>
      </c>
      <c r="AJ4" s="1" t="s">
        <v>66</v>
      </c>
      <c r="AK4">
        <f>VLOOKUP($B4,'SegEnds_NonXtal_BW#'!$A:$AR,25,FALSE)+AL4-50</f>
        <v>219</v>
      </c>
      <c r="AL4" s="2">
        <v>229</v>
      </c>
      <c r="AM4">
        <f>VLOOKUP($B4,'SegEnds_NonXtal_BW#'!$A:$AR,26,FALSE)+AL4-50</f>
        <v>254</v>
      </c>
      <c r="AN4" s="1" t="s">
        <v>66</v>
      </c>
      <c r="AO4" s="2" t="s">
        <v>66</v>
      </c>
      <c r="AP4" s="1" t="s">
        <v>66</v>
      </c>
      <c r="AQ4">
        <f>VLOOKUP($B4,'SegEnds_NonXtal_BW#'!$A:$AR,29,FALSE)+AR4-50</f>
        <v>262</v>
      </c>
      <c r="AR4" s="2">
        <v>284</v>
      </c>
      <c r="AS4">
        <f>VLOOKUP($B4,'SegEnds_NonXtal_BW#'!$A:$AR,30,FALSE)+AR4-50</f>
        <v>288</v>
      </c>
      <c r="AT4" s="1" t="s">
        <v>66</v>
      </c>
      <c r="AU4" s="2" t="s">
        <v>66</v>
      </c>
      <c r="AV4" s="1" t="s">
        <v>66</v>
      </c>
      <c r="AW4">
        <f>VLOOKUP($B4,'SegEnds_NonXtal_BW#'!$A:$AR,33,FALSE)+AX4-50</f>
        <v>294</v>
      </c>
      <c r="AX4" s="2">
        <v>305</v>
      </c>
      <c r="AY4">
        <f>VLOOKUP($B4,'SegEnds_NonXtal_BW#'!$A:$AR,34,FALSE)+AX4-50</f>
        <v>324</v>
      </c>
      <c r="AZ4" t="s">
        <v>66</v>
      </c>
      <c r="BA4" s="2" t="s">
        <v>66</v>
      </c>
      <c r="BB4" t="s">
        <v>66</v>
      </c>
      <c r="BD4" t="str">
        <f>IF(COUNTIF('SegEnds_Xtal_Prot#'!B:B,'SegEnds_NonXtal_Prot#'!B4)&gt;0,IF(COUNTIF(BK4:BX4,TRUE)=14,TRUE,FALSE),"NoXtal")</f>
        <v>NoXtal</v>
      </c>
      <c r="BE4" t="e">
        <f>IF(D4=VLOOKUP($A4,'SegEnds_Xtal_Prot#'!$A:$BO,5,FALSE),TRUE,FALSE)</f>
        <v>#N/A</v>
      </c>
      <c r="BF4" t="e">
        <f>IF(F4=VLOOKUP($A4,'SegEnds_Xtal_Prot#'!$A:$BO,7,FALSE),TRUE,FALSE)</f>
        <v>#N/A</v>
      </c>
      <c r="BG4" t="e">
        <f>IF(G4=VLOOKUP($A4,'SegEnds_Xtal_Prot#'!$A:$BO,9,FALSE),TRUE,FALSE)</f>
        <v>#N/A</v>
      </c>
      <c r="BH4" t="e">
        <f>IF(I4=VLOOKUP($A4,'SegEnds_Xtal_Prot#'!$A:$BO,11,FALSE),TRUE,FALSE)</f>
        <v>#N/A</v>
      </c>
      <c r="BI4" t="e">
        <f>IF(J4=VLOOKUP($A4,'SegEnds_Xtal_Prot#'!$A:$BO,13,FALSE),TRUE,FALSE)</f>
        <v>#N/A</v>
      </c>
      <c r="BJ4" t="e">
        <f>IF(L4=VLOOKUP($A4,'SegEnds_Xtal_Prot#'!$A:$BO,15,FALSE),TRUE,FALSE)</f>
        <v>#N/A</v>
      </c>
      <c r="BK4" t="e">
        <f>IF(M4=VLOOKUP($A4,'SegEnds_Xtal_Prot#'!$A:$BO,17,FALSE),TRUE,FALSE)</f>
        <v>#N/A</v>
      </c>
      <c r="BL4" t="e">
        <f>IF(O4=VLOOKUP($A4,'SegEnds_Xtal_Prot#'!$A:$BO,19,FALSE),TRUE,FALSE)</f>
        <v>#N/A</v>
      </c>
      <c r="BM4" t="e">
        <f>IF(S4=VLOOKUP($A4,'SegEnds_Xtal_Prot#'!$A:$BO,25,FALSE),TRUE,FALSE)</f>
        <v>#N/A</v>
      </c>
      <c r="BN4" t="e">
        <f>IF(U4=VLOOKUP($A4,'SegEnds_Xtal_Prot#'!$A:$BO,27,FALSE),TRUE,FALSE)</f>
        <v>#N/A</v>
      </c>
      <c r="BO4" t="e">
        <f>IF(Y4=VLOOKUP($A4,'SegEnds_Xtal_Prot#'!$A:$BO,33,FALSE),TRUE,FALSE)</f>
        <v>#N/A</v>
      </c>
      <c r="BP4" t="e">
        <f>IF(AA4=VLOOKUP($A4,'SegEnds_Xtal_Prot#'!$A:$BO,35,FALSE),TRUE,FALSE)</f>
        <v>#N/A</v>
      </c>
      <c r="BQ4" t="e">
        <f>IF(AE4=VLOOKUP($A4,'SegEnds_Xtal_Prot#'!$A:$BO,41,FALSE),TRUE,FALSE)</f>
        <v>#N/A</v>
      </c>
      <c r="BR4" t="e">
        <f>IF(AG4=VLOOKUP($A4,'SegEnds_Xtal_Prot#'!$A:$BO,43,FALSE),TRUE,FALSE)</f>
        <v>#N/A</v>
      </c>
      <c r="BS4" t="e">
        <f>IF(AK4=VLOOKUP($A4,'SegEnds_Xtal_Prot#'!$A:$BO,49,FALSE),TRUE,FALSE)</f>
        <v>#N/A</v>
      </c>
      <c r="BT4" t="e">
        <f>IF(AM4=VLOOKUP($A4,'SegEnds_Xtal_Prot#'!$A:$BO,51,FALSE),TRUE,FALSE)</f>
        <v>#N/A</v>
      </c>
      <c r="BU4" t="e">
        <f>IF(AQ4=VLOOKUP($A4,'SegEnds_Xtal_Prot#'!$A:$BO,57,FALSE),TRUE,FALSE)</f>
        <v>#N/A</v>
      </c>
      <c r="BV4" t="e">
        <f>IF(AS4=VLOOKUP($A4,'SegEnds_Xtal_Prot#'!$A:$BO,59,FALSE),TRUE,FALSE)</f>
        <v>#N/A</v>
      </c>
      <c r="BW4" t="e">
        <f>IF(AW4=VLOOKUP($A4,'SegEnds_Xtal_Prot#'!$A:$BO,65,FALSE),TRUE,FALSE)</f>
        <v>#N/A</v>
      </c>
      <c r="BX4" t="e">
        <f>IF(AY4=VLOOKUP($A4,'SegEnds_Xtal_Prot#'!$A:$BO,67,FALSE),TRUE,FALSE)</f>
        <v>#N/A</v>
      </c>
    </row>
    <row r="5" spans="1:76" x14ac:dyDescent="0.2">
      <c r="A5" t="str">
        <f t="shared" si="0"/>
        <v>B1GVB8_PENCH__wt</v>
      </c>
      <c r="B5" s="1" t="s">
        <v>35</v>
      </c>
      <c r="C5" t="str">
        <f>VLOOKUP(B5,Seqs!A:B,2,FALSE)</f>
        <v>ste2_yeast</v>
      </c>
      <c r="D5">
        <f>VLOOKUP($B5,'SegEnds_NonXtal_BW#'!$A:$AR,3,FALSE)+E5-50</f>
        <v>11</v>
      </c>
      <c r="E5" s="2">
        <v>12</v>
      </c>
      <c r="F5">
        <f>VLOOKUP($B5,'SegEnds_NonXtal_BW#'!$A:$AR,4,FALSE)+E5-50</f>
        <v>21</v>
      </c>
      <c r="G5">
        <f>VLOOKUP($B5,'SegEnds_NonXtal_BW#'!$A:$AR,5,FALSE)+H5-50</f>
        <v>22</v>
      </c>
      <c r="H5" s="2">
        <v>23</v>
      </c>
      <c r="I5">
        <f>VLOOKUP($B5,'SegEnds_NonXtal_BW#'!$A:$AR,6,FALSE)+H5-50</f>
        <v>23</v>
      </c>
      <c r="J5">
        <f>VLOOKUP($B5,'SegEnds_NonXtal_BW#'!$A:$AR,7,FALSE)+K5-50</f>
        <v>24</v>
      </c>
      <c r="K5" s="2">
        <v>24</v>
      </c>
      <c r="L5">
        <f>VLOOKUP($B5,'SegEnds_NonXtal_BW#'!$A:$AR,8,FALSE)+K5-50</f>
        <v>29</v>
      </c>
      <c r="M5">
        <f>VLOOKUP($B5,'SegEnds_NonXtal_BW#'!$A:$AR,9,FALSE)+N5-50</f>
        <v>30</v>
      </c>
      <c r="N5" s="2">
        <v>55</v>
      </c>
      <c r="O5" s="1">
        <f>VLOOKUP($B5,'SegEnds_NonXtal_BW#'!$A:$AR,10,FALSE)+N5-50</f>
        <v>65</v>
      </c>
      <c r="P5" s="1" t="s">
        <v>66</v>
      </c>
      <c r="Q5" s="2" t="s">
        <v>66</v>
      </c>
      <c r="R5" s="1" t="s">
        <v>66</v>
      </c>
      <c r="S5">
        <f>VLOOKUP($B5,'SegEnds_NonXtal_BW#'!$A:$AR,13,FALSE)+T5-50</f>
        <v>73</v>
      </c>
      <c r="T5" s="2">
        <v>86</v>
      </c>
      <c r="U5">
        <f>VLOOKUP($B5,'SegEnds_NonXtal_BW#'!$A:$AR,14,FALSE)+T5-50</f>
        <v>99</v>
      </c>
      <c r="V5" s="1">
        <f>VLOOKUP($B5,'SegEnds_NonXtal_BW#'!$A:$AR,15,FALSE)+W5-50</f>
        <v>100</v>
      </c>
      <c r="W5" s="2">
        <v>105</v>
      </c>
      <c r="X5" s="1">
        <f>VLOOKUP($B5,'SegEnds_NonXtal_BW#'!$A:$AR,16,FALSE)+W5-50</f>
        <v>115</v>
      </c>
      <c r="Y5">
        <f>VLOOKUP($B5,'SegEnds_NonXtal_BW#'!$A:$AR,17,FALSE)+Z5-50</f>
        <v>116</v>
      </c>
      <c r="Z5" s="2">
        <v>144</v>
      </c>
      <c r="AA5" s="1">
        <f>VLOOKUP($B5,'SegEnds_NonXtal_BW#'!$A:$AR,18,FALSE)+Z5-50</f>
        <v>150</v>
      </c>
      <c r="AB5" s="1" t="s">
        <v>66</v>
      </c>
      <c r="AC5" s="2" t="s">
        <v>66</v>
      </c>
      <c r="AD5" s="1" t="s">
        <v>66</v>
      </c>
      <c r="AE5" s="1">
        <f>VLOOKUP($B5,'SegEnds_NonXtal_BW#'!$A:$AR,21,FALSE)+AF5-50</f>
        <v>155</v>
      </c>
      <c r="AF5" s="2">
        <v>172</v>
      </c>
      <c r="AG5">
        <f>VLOOKUP($B5,'SegEnds_NonXtal_BW#'!$A:$AR,22,FALSE)+AF5-50</f>
        <v>189</v>
      </c>
      <c r="AH5" s="1" t="s">
        <v>66</v>
      </c>
      <c r="AI5" s="2" t="s">
        <v>66</v>
      </c>
      <c r="AJ5" s="1" t="s">
        <v>66</v>
      </c>
      <c r="AK5">
        <f>VLOOKUP($B5,'SegEnds_NonXtal_BW#'!$A:$AR,25,FALSE)+AL5-50</f>
        <v>196</v>
      </c>
      <c r="AL5" s="2">
        <v>206</v>
      </c>
      <c r="AM5">
        <f>VLOOKUP($B5,'SegEnds_NonXtal_BW#'!$A:$AR,26,FALSE)+AL5-50</f>
        <v>231</v>
      </c>
      <c r="AN5" s="1" t="s">
        <v>66</v>
      </c>
      <c r="AO5" s="2" t="s">
        <v>66</v>
      </c>
      <c r="AP5" s="1" t="s">
        <v>66</v>
      </c>
      <c r="AQ5">
        <f>VLOOKUP($B5,'SegEnds_NonXtal_BW#'!$A:$AR,29,FALSE)+AR5-50</f>
        <v>237</v>
      </c>
      <c r="AR5" s="2">
        <v>259</v>
      </c>
      <c r="AS5">
        <f>VLOOKUP($B5,'SegEnds_NonXtal_BW#'!$A:$AR,30,FALSE)+AR5-50</f>
        <v>263</v>
      </c>
      <c r="AT5" s="1" t="s">
        <v>66</v>
      </c>
      <c r="AU5" s="2" t="s">
        <v>66</v>
      </c>
      <c r="AV5" s="1" t="s">
        <v>66</v>
      </c>
      <c r="AW5">
        <f>VLOOKUP($B5,'SegEnds_NonXtal_BW#'!$A:$AR,33,FALSE)+AX5-50</f>
        <v>267</v>
      </c>
      <c r="AX5" s="2">
        <v>278</v>
      </c>
      <c r="AY5">
        <f>VLOOKUP($B5,'SegEnds_NonXtal_BW#'!$A:$AR,34,FALSE)+AX5-50</f>
        <v>297</v>
      </c>
      <c r="AZ5" t="s">
        <v>66</v>
      </c>
      <c r="BA5" s="2" t="s">
        <v>66</v>
      </c>
      <c r="BB5" t="s">
        <v>66</v>
      </c>
      <c r="BD5" t="str">
        <f>IF(COUNTIF('SegEnds_Xtal_Prot#'!B:B,'SegEnds_NonXtal_Prot#'!B5)&gt;0,IF(COUNTIF(BK5:BX5,TRUE)=14,TRUE,FALSE),"NoXtal")</f>
        <v>NoXtal</v>
      </c>
      <c r="BE5" t="e">
        <f>IF(D5=VLOOKUP($A5,'SegEnds_Xtal_Prot#'!$A:$BO,5,FALSE),TRUE,FALSE)</f>
        <v>#N/A</v>
      </c>
      <c r="BF5" t="e">
        <f>IF(F5=VLOOKUP($A5,'SegEnds_Xtal_Prot#'!$A:$BO,7,FALSE),TRUE,FALSE)</f>
        <v>#N/A</v>
      </c>
      <c r="BG5" t="e">
        <f>IF(G5=VLOOKUP($A5,'SegEnds_Xtal_Prot#'!$A:$BO,9,FALSE),TRUE,FALSE)</f>
        <v>#N/A</v>
      </c>
      <c r="BH5" t="e">
        <f>IF(I5=VLOOKUP($A5,'SegEnds_Xtal_Prot#'!$A:$BO,11,FALSE),TRUE,FALSE)</f>
        <v>#N/A</v>
      </c>
      <c r="BI5" t="e">
        <f>IF(J5=VLOOKUP($A5,'SegEnds_Xtal_Prot#'!$A:$BO,13,FALSE),TRUE,FALSE)</f>
        <v>#N/A</v>
      </c>
      <c r="BJ5" t="e">
        <f>IF(L5=VLOOKUP($A5,'SegEnds_Xtal_Prot#'!$A:$BO,15,FALSE),TRUE,FALSE)</f>
        <v>#N/A</v>
      </c>
      <c r="BK5" t="e">
        <f>IF(M5=VLOOKUP($A5,'SegEnds_Xtal_Prot#'!$A:$BO,17,FALSE),TRUE,FALSE)</f>
        <v>#N/A</v>
      </c>
      <c r="BL5" t="e">
        <f>IF(O5=VLOOKUP($A5,'SegEnds_Xtal_Prot#'!$A:$BO,19,FALSE),TRUE,FALSE)</f>
        <v>#N/A</v>
      </c>
      <c r="BM5" t="e">
        <f>IF(S5=VLOOKUP($A5,'SegEnds_Xtal_Prot#'!$A:$BO,25,FALSE),TRUE,FALSE)</f>
        <v>#N/A</v>
      </c>
      <c r="BN5" t="e">
        <f>IF(U5=VLOOKUP($A5,'SegEnds_Xtal_Prot#'!$A:$BO,27,FALSE),TRUE,FALSE)</f>
        <v>#N/A</v>
      </c>
      <c r="BO5" t="e">
        <f>IF(Y5=VLOOKUP($A5,'SegEnds_Xtal_Prot#'!$A:$BO,33,FALSE),TRUE,FALSE)</f>
        <v>#N/A</v>
      </c>
      <c r="BP5" t="e">
        <f>IF(AA5=VLOOKUP($A5,'SegEnds_Xtal_Prot#'!$A:$BO,35,FALSE),TRUE,FALSE)</f>
        <v>#N/A</v>
      </c>
      <c r="BQ5" t="e">
        <f>IF(AE5=VLOOKUP($A5,'SegEnds_Xtal_Prot#'!$A:$BO,41,FALSE),TRUE,FALSE)</f>
        <v>#N/A</v>
      </c>
      <c r="BR5" t="e">
        <f>IF(AG5=VLOOKUP($A5,'SegEnds_Xtal_Prot#'!$A:$BO,43,FALSE),TRUE,FALSE)</f>
        <v>#N/A</v>
      </c>
      <c r="BS5" t="e">
        <f>IF(AK5=VLOOKUP($A5,'SegEnds_Xtal_Prot#'!$A:$BO,49,FALSE),TRUE,FALSE)</f>
        <v>#N/A</v>
      </c>
      <c r="BT5" t="e">
        <f>IF(AM5=VLOOKUP($A5,'SegEnds_Xtal_Prot#'!$A:$BO,51,FALSE),TRUE,FALSE)</f>
        <v>#N/A</v>
      </c>
      <c r="BU5" t="e">
        <f>IF(AQ5=VLOOKUP($A5,'SegEnds_Xtal_Prot#'!$A:$BO,57,FALSE),TRUE,FALSE)</f>
        <v>#N/A</v>
      </c>
      <c r="BV5" t="e">
        <f>IF(AS5=VLOOKUP($A5,'SegEnds_Xtal_Prot#'!$A:$BO,59,FALSE),TRUE,FALSE)</f>
        <v>#N/A</v>
      </c>
      <c r="BW5" t="e">
        <f>IF(AW5=VLOOKUP($A5,'SegEnds_Xtal_Prot#'!$A:$BO,65,FALSE),TRUE,FALSE)</f>
        <v>#N/A</v>
      </c>
      <c r="BX5" t="e">
        <f>IF(AY5=VLOOKUP($A5,'SegEnds_Xtal_Prot#'!$A:$BO,67,FALSE),TRUE,FALSE)</f>
        <v>#N/A</v>
      </c>
    </row>
    <row r="6" spans="1:76" x14ac:dyDescent="0.2">
      <c r="A6" t="str">
        <f t="shared" si="0"/>
        <v>mam2_schpo__wt</v>
      </c>
      <c r="B6" t="s">
        <v>37</v>
      </c>
      <c r="C6" t="str">
        <f>VLOOKUP(B6,Seqs!A:B,2,FALSE)</f>
        <v>ste2_yeast</v>
      </c>
      <c r="D6">
        <f>VLOOKUP($B6,'SegEnds_NonXtal_BW#'!$A:$AR,3,FALSE)+E6-50</f>
        <v>17</v>
      </c>
      <c r="E6" s="2">
        <v>18</v>
      </c>
      <c r="F6">
        <f>VLOOKUP($B6,'SegEnds_NonXtal_BW#'!$A:$AR,4,FALSE)+E6-50</f>
        <v>27</v>
      </c>
      <c r="G6">
        <f>VLOOKUP($B6,'SegEnds_NonXtal_BW#'!$A:$AR,5,FALSE)+H6-50</f>
        <v>28</v>
      </c>
      <c r="H6" s="2">
        <v>29</v>
      </c>
      <c r="I6">
        <f>VLOOKUP($B6,'SegEnds_NonXtal_BW#'!$A:$AR,6,FALSE)+H6-50</f>
        <v>29</v>
      </c>
      <c r="J6">
        <f>VLOOKUP($B6,'SegEnds_NonXtal_BW#'!$A:$AR,7,FALSE)+K6-50</f>
        <v>30</v>
      </c>
      <c r="K6" s="2">
        <v>30</v>
      </c>
      <c r="L6">
        <f>VLOOKUP($B6,'SegEnds_NonXtal_BW#'!$A:$AR,8,FALSE)+K6-50</f>
        <v>35</v>
      </c>
      <c r="M6">
        <f>VLOOKUP($B6,'SegEnds_NonXtal_BW#'!$A:$AR,9,FALSE)+N6-50</f>
        <v>36</v>
      </c>
      <c r="N6" s="2">
        <v>61</v>
      </c>
      <c r="O6" s="1">
        <f>VLOOKUP($B6,'SegEnds_NonXtal_BW#'!$A:$AR,10,FALSE)+N6-50</f>
        <v>71</v>
      </c>
      <c r="P6" s="1" t="s">
        <v>66</v>
      </c>
      <c r="Q6" s="2" t="s">
        <v>66</v>
      </c>
      <c r="R6" s="1" t="s">
        <v>66</v>
      </c>
      <c r="S6">
        <f>VLOOKUP($B6,'SegEnds_NonXtal_BW#'!$A:$AR,13,FALSE)+T6-50</f>
        <v>77</v>
      </c>
      <c r="T6" s="2">
        <v>90</v>
      </c>
      <c r="U6">
        <f>VLOOKUP($B6,'SegEnds_NonXtal_BW#'!$A:$AR,14,FALSE)+T6-50</f>
        <v>103</v>
      </c>
      <c r="V6" s="1">
        <f>VLOOKUP($B6,'SegEnds_NonXtal_BW#'!$A:$AR,15,FALSE)+W6-50</f>
        <v>104</v>
      </c>
      <c r="W6" s="2">
        <v>109</v>
      </c>
      <c r="X6" s="1">
        <f>VLOOKUP($B6,'SegEnds_NonXtal_BW#'!$A:$AR,16,FALSE)+W6-50</f>
        <v>119</v>
      </c>
      <c r="Y6">
        <f>VLOOKUP($B6,'SegEnds_NonXtal_BW#'!$A:$AR,17,FALSE)+Z6-50</f>
        <v>120</v>
      </c>
      <c r="Z6" s="2">
        <v>148</v>
      </c>
      <c r="AA6" s="1">
        <f>VLOOKUP($B6,'SegEnds_NonXtal_BW#'!$A:$AR,18,FALSE)+Z6-50</f>
        <v>154</v>
      </c>
      <c r="AB6" s="1" t="s">
        <v>66</v>
      </c>
      <c r="AC6" s="2" t="s">
        <v>66</v>
      </c>
      <c r="AD6" s="1" t="s">
        <v>66</v>
      </c>
      <c r="AE6" s="1">
        <f>VLOOKUP($B6,'SegEnds_NonXtal_BW#'!$A:$AR,21,FALSE)+AF6-50</f>
        <v>158</v>
      </c>
      <c r="AF6" s="2">
        <v>175</v>
      </c>
      <c r="AG6">
        <f>VLOOKUP($B6,'SegEnds_NonXtal_BW#'!$A:$AR,22,FALSE)+AF6-50</f>
        <v>192</v>
      </c>
      <c r="AH6" s="1" t="s">
        <v>66</v>
      </c>
      <c r="AI6" s="2" t="s">
        <v>66</v>
      </c>
      <c r="AJ6" s="1" t="s">
        <v>66</v>
      </c>
      <c r="AK6">
        <f>VLOOKUP($B6,'SegEnds_NonXtal_BW#'!$A:$AR,25,FALSE)+AL6-50</f>
        <v>204</v>
      </c>
      <c r="AL6" s="2">
        <v>214</v>
      </c>
      <c r="AM6">
        <f>VLOOKUP($B6,'SegEnds_NonXtal_BW#'!$A:$AR,26,FALSE)+AL6-50</f>
        <v>239</v>
      </c>
      <c r="AN6" s="1" t="s">
        <v>66</v>
      </c>
      <c r="AO6" s="2" t="s">
        <v>66</v>
      </c>
      <c r="AP6" s="1" t="s">
        <v>66</v>
      </c>
      <c r="AQ6">
        <f>VLOOKUP($B6,'SegEnds_NonXtal_BW#'!$A:$AR,29,FALSE)+AR6-50</f>
        <v>245</v>
      </c>
      <c r="AR6" s="2">
        <v>267</v>
      </c>
      <c r="AS6">
        <f>VLOOKUP($B6,'SegEnds_NonXtal_BW#'!$A:$AR,30,FALSE)+AR6-50</f>
        <v>271</v>
      </c>
      <c r="AT6" s="1" t="s">
        <v>66</v>
      </c>
      <c r="AU6" s="2" t="s">
        <v>66</v>
      </c>
      <c r="AV6" s="1" t="s">
        <v>66</v>
      </c>
      <c r="AW6">
        <f>VLOOKUP($B6,'SegEnds_NonXtal_BW#'!$A:$AR,33,FALSE)+AX6-50</f>
        <v>276</v>
      </c>
      <c r="AX6" s="2">
        <v>287</v>
      </c>
      <c r="AY6">
        <f>VLOOKUP($B6,'SegEnds_NonXtal_BW#'!$A:$AR,34,FALSE)+AX6-50</f>
        <v>306</v>
      </c>
      <c r="AZ6" t="s">
        <v>66</v>
      </c>
      <c r="BA6" s="2" t="s">
        <v>66</v>
      </c>
      <c r="BB6" t="s">
        <v>66</v>
      </c>
      <c r="BD6" t="str">
        <f>IF(COUNTIF('SegEnds_Xtal_Prot#'!B:B,'SegEnds_NonXtal_Prot#'!B6)&gt;0,IF(COUNTIF(BK6:BX6,TRUE)=14,TRUE,FALSE),"NoXtal")</f>
        <v>NoXtal</v>
      </c>
      <c r="BE6" t="e">
        <f>IF(D6=VLOOKUP($A6,'SegEnds_Xtal_Prot#'!$A:$BO,5,FALSE),TRUE,FALSE)</f>
        <v>#N/A</v>
      </c>
      <c r="BF6" t="e">
        <f>IF(F6=VLOOKUP($A6,'SegEnds_Xtal_Prot#'!$A:$BO,7,FALSE),TRUE,FALSE)</f>
        <v>#N/A</v>
      </c>
      <c r="BG6" t="e">
        <f>IF(G6=VLOOKUP($A6,'SegEnds_Xtal_Prot#'!$A:$BO,9,FALSE),TRUE,FALSE)</f>
        <v>#N/A</v>
      </c>
      <c r="BH6" t="e">
        <f>IF(I6=VLOOKUP($A6,'SegEnds_Xtal_Prot#'!$A:$BO,11,FALSE),TRUE,FALSE)</f>
        <v>#N/A</v>
      </c>
      <c r="BI6" t="e">
        <f>IF(J6=VLOOKUP($A6,'SegEnds_Xtal_Prot#'!$A:$BO,13,FALSE),TRUE,FALSE)</f>
        <v>#N/A</v>
      </c>
      <c r="BJ6" t="e">
        <f>IF(L6=VLOOKUP($A6,'SegEnds_Xtal_Prot#'!$A:$BO,15,FALSE),TRUE,FALSE)</f>
        <v>#N/A</v>
      </c>
      <c r="BK6" t="e">
        <f>IF(M6=VLOOKUP($A6,'SegEnds_Xtal_Prot#'!$A:$BO,17,FALSE),TRUE,FALSE)</f>
        <v>#N/A</v>
      </c>
      <c r="BL6" t="e">
        <f>IF(O6=VLOOKUP($A6,'SegEnds_Xtal_Prot#'!$A:$BO,19,FALSE),TRUE,FALSE)</f>
        <v>#N/A</v>
      </c>
      <c r="BM6" t="e">
        <f>IF(S6=VLOOKUP($A6,'SegEnds_Xtal_Prot#'!$A:$BO,25,FALSE),TRUE,FALSE)</f>
        <v>#N/A</v>
      </c>
      <c r="BN6" t="e">
        <f>IF(U6=VLOOKUP($A6,'SegEnds_Xtal_Prot#'!$A:$BO,27,FALSE),TRUE,FALSE)</f>
        <v>#N/A</v>
      </c>
      <c r="BO6" t="e">
        <f>IF(Y6=VLOOKUP($A6,'SegEnds_Xtal_Prot#'!$A:$BO,33,FALSE),TRUE,FALSE)</f>
        <v>#N/A</v>
      </c>
      <c r="BP6" t="e">
        <f>IF(AA6=VLOOKUP($A6,'SegEnds_Xtal_Prot#'!$A:$BO,35,FALSE),TRUE,FALSE)</f>
        <v>#N/A</v>
      </c>
      <c r="BQ6" t="e">
        <f>IF(AE6=VLOOKUP($A6,'SegEnds_Xtal_Prot#'!$A:$BO,41,FALSE),TRUE,FALSE)</f>
        <v>#N/A</v>
      </c>
      <c r="BR6" t="e">
        <f>IF(AG6=VLOOKUP($A6,'SegEnds_Xtal_Prot#'!$A:$BO,43,FALSE),TRUE,FALSE)</f>
        <v>#N/A</v>
      </c>
      <c r="BS6" t="e">
        <f>IF(AK6=VLOOKUP($A6,'SegEnds_Xtal_Prot#'!$A:$BO,49,FALSE),TRUE,FALSE)</f>
        <v>#N/A</v>
      </c>
      <c r="BT6" t="e">
        <f>IF(AM6=VLOOKUP($A6,'SegEnds_Xtal_Prot#'!$A:$BO,51,FALSE),TRUE,FALSE)</f>
        <v>#N/A</v>
      </c>
      <c r="BU6" t="e">
        <f>IF(AQ6=VLOOKUP($A6,'SegEnds_Xtal_Prot#'!$A:$BO,57,FALSE),TRUE,FALSE)</f>
        <v>#N/A</v>
      </c>
      <c r="BV6" t="e">
        <f>IF(AS6=VLOOKUP($A6,'SegEnds_Xtal_Prot#'!$A:$BO,59,FALSE),TRUE,FALSE)</f>
        <v>#N/A</v>
      </c>
      <c r="BW6" t="e">
        <f>IF(AW6=VLOOKUP($A6,'SegEnds_Xtal_Prot#'!$A:$BO,65,FALSE),TRUE,FALSE)</f>
        <v>#N/A</v>
      </c>
      <c r="BX6" t="e">
        <f>IF(AY6=VLOOKUP($A6,'SegEnds_Xtal_Prot#'!$A:$BO,67,FALSE),TRUE,FALSE)</f>
        <v>#N/A</v>
      </c>
    </row>
    <row r="7" spans="1:76" x14ac:dyDescent="0.2">
      <c r="A7" t="str">
        <f t="shared" si="0"/>
        <v>Q4WYU8_ASPFU__wt</v>
      </c>
      <c r="B7" t="s">
        <v>39</v>
      </c>
      <c r="C7" t="str">
        <f>VLOOKUP(B7,Seqs!A:B,2,FALSE)</f>
        <v>ste2_yeast</v>
      </c>
      <c r="D7">
        <f>VLOOKUP($B7,'SegEnds_NonXtal_BW#'!$A:$AR,3,FALSE)+E7-50</f>
        <v>6</v>
      </c>
      <c r="E7" s="2">
        <v>7</v>
      </c>
      <c r="F7">
        <f>VLOOKUP($B7,'SegEnds_NonXtal_BW#'!$A:$AR,4,FALSE)+E7-50</f>
        <v>16</v>
      </c>
      <c r="G7">
        <f>VLOOKUP($B7,'SegEnds_NonXtal_BW#'!$A:$AR,5,FALSE)+H7-50</f>
        <v>17</v>
      </c>
      <c r="H7" s="2">
        <v>18</v>
      </c>
      <c r="I7">
        <f>VLOOKUP($B7,'SegEnds_NonXtal_BW#'!$A:$AR,6,FALSE)+H7-50</f>
        <v>18</v>
      </c>
      <c r="J7">
        <f>VLOOKUP($B7,'SegEnds_NonXtal_BW#'!$A:$AR,7,FALSE)+K7-50</f>
        <v>19</v>
      </c>
      <c r="K7" s="2">
        <v>19</v>
      </c>
      <c r="L7">
        <f>VLOOKUP($B7,'SegEnds_NonXtal_BW#'!$A:$AR,8,FALSE)+K7-50</f>
        <v>24</v>
      </c>
      <c r="M7">
        <f>VLOOKUP($B7,'SegEnds_NonXtal_BW#'!$A:$AR,9,FALSE)+N7-50</f>
        <v>25</v>
      </c>
      <c r="N7" s="2">
        <v>50</v>
      </c>
      <c r="O7" s="1">
        <f>VLOOKUP($B7,'SegEnds_NonXtal_BW#'!$A:$AR,10,FALSE)+N7-50</f>
        <v>60</v>
      </c>
      <c r="P7" s="1" t="s">
        <v>66</v>
      </c>
      <c r="Q7" s="2" t="s">
        <v>66</v>
      </c>
      <c r="R7" s="1" t="s">
        <v>66</v>
      </c>
      <c r="S7">
        <f>VLOOKUP($B7,'SegEnds_NonXtal_BW#'!$A:$AR,13,FALSE)+T7-50</f>
        <v>68</v>
      </c>
      <c r="T7" s="2">
        <v>81</v>
      </c>
      <c r="U7">
        <f>VLOOKUP($B7,'SegEnds_NonXtal_BW#'!$A:$AR,14,FALSE)+T7-50</f>
        <v>94</v>
      </c>
      <c r="V7" s="1">
        <f>VLOOKUP($B7,'SegEnds_NonXtal_BW#'!$A:$AR,15,FALSE)+W7-50</f>
        <v>95</v>
      </c>
      <c r="W7" s="2">
        <v>100</v>
      </c>
      <c r="X7" s="1">
        <f>VLOOKUP($B7,'SegEnds_NonXtal_BW#'!$A:$AR,16,FALSE)+W7-50</f>
        <v>110</v>
      </c>
      <c r="Y7">
        <f>VLOOKUP($B7,'SegEnds_NonXtal_BW#'!$A:$AR,17,FALSE)+Z7-50</f>
        <v>111</v>
      </c>
      <c r="Z7" s="2">
        <v>139</v>
      </c>
      <c r="AA7" s="1">
        <f>VLOOKUP($B7,'SegEnds_NonXtal_BW#'!$A:$AR,18,FALSE)+Z7-50</f>
        <v>145</v>
      </c>
      <c r="AB7" s="1" t="s">
        <v>66</v>
      </c>
      <c r="AC7" s="2" t="s">
        <v>66</v>
      </c>
      <c r="AD7" s="1" t="s">
        <v>66</v>
      </c>
      <c r="AE7" s="1">
        <f>VLOOKUP($B7,'SegEnds_NonXtal_BW#'!$A:$AR,21,FALSE)+AF7-50</f>
        <v>150</v>
      </c>
      <c r="AF7" s="2">
        <v>167</v>
      </c>
      <c r="AG7">
        <f>VLOOKUP($B7,'SegEnds_NonXtal_BW#'!$A:$AR,22,FALSE)+AF7-50</f>
        <v>184</v>
      </c>
      <c r="AH7" s="1" t="s">
        <v>66</v>
      </c>
      <c r="AI7" s="2" t="s">
        <v>66</v>
      </c>
      <c r="AJ7" s="1" t="s">
        <v>66</v>
      </c>
      <c r="AK7">
        <f>VLOOKUP($B7,'SegEnds_NonXtal_BW#'!$A:$AR,25,FALSE)+AL7-50</f>
        <v>191</v>
      </c>
      <c r="AL7" s="2">
        <v>201</v>
      </c>
      <c r="AM7">
        <f>VLOOKUP($B7,'SegEnds_NonXtal_BW#'!$A:$AR,26,FALSE)+AL7-50</f>
        <v>226</v>
      </c>
      <c r="AN7" s="1" t="s">
        <v>66</v>
      </c>
      <c r="AO7" s="2" t="s">
        <v>66</v>
      </c>
      <c r="AP7" s="1" t="s">
        <v>66</v>
      </c>
      <c r="AQ7">
        <f>VLOOKUP($B7,'SegEnds_NonXtal_BW#'!$A:$AR,29,FALSE)+AR7-50</f>
        <v>232</v>
      </c>
      <c r="AR7" s="2">
        <v>254</v>
      </c>
      <c r="AS7">
        <f>VLOOKUP($B7,'SegEnds_NonXtal_BW#'!$A:$AR,30,FALSE)+AR7-50</f>
        <v>258</v>
      </c>
      <c r="AT7" s="1" t="s">
        <v>66</v>
      </c>
      <c r="AU7" s="2" t="s">
        <v>66</v>
      </c>
      <c r="AV7" s="1" t="s">
        <v>66</v>
      </c>
      <c r="AW7">
        <f>VLOOKUP($B7,'SegEnds_NonXtal_BW#'!$A:$AR,33,FALSE)+AX7-50</f>
        <v>262</v>
      </c>
      <c r="AX7" s="2">
        <v>273</v>
      </c>
      <c r="AY7">
        <f>VLOOKUP($B7,'SegEnds_NonXtal_BW#'!$A:$AR,34,FALSE)+AX7-50</f>
        <v>292</v>
      </c>
      <c r="AZ7" t="s">
        <v>66</v>
      </c>
      <c r="BA7" s="2" t="s">
        <v>66</v>
      </c>
      <c r="BB7" t="s">
        <v>66</v>
      </c>
      <c r="BD7" t="str">
        <f>IF(COUNTIF('SegEnds_Xtal_Prot#'!B:B,'SegEnds_NonXtal_Prot#'!B7)&gt;0,IF(COUNTIF(BK7:BX7,TRUE)=14,TRUE,FALSE),"NoXtal")</f>
        <v>NoXtal</v>
      </c>
      <c r="BE7" t="e">
        <f>IF(D7=VLOOKUP($A7,'SegEnds_Xtal_Prot#'!$A:$BO,5,FALSE),TRUE,FALSE)</f>
        <v>#N/A</v>
      </c>
      <c r="BF7" t="e">
        <f>IF(F7=VLOOKUP($A7,'SegEnds_Xtal_Prot#'!$A:$BO,7,FALSE),TRUE,FALSE)</f>
        <v>#N/A</v>
      </c>
      <c r="BG7" t="e">
        <f>IF(G7=VLOOKUP($A7,'SegEnds_Xtal_Prot#'!$A:$BO,9,FALSE),TRUE,FALSE)</f>
        <v>#N/A</v>
      </c>
      <c r="BH7" t="e">
        <f>IF(I7=VLOOKUP($A7,'SegEnds_Xtal_Prot#'!$A:$BO,11,FALSE),TRUE,FALSE)</f>
        <v>#N/A</v>
      </c>
      <c r="BI7" t="e">
        <f>IF(J7=VLOOKUP($A7,'SegEnds_Xtal_Prot#'!$A:$BO,13,FALSE),TRUE,FALSE)</f>
        <v>#N/A</v>
      </c>
      <c r="BJ7" t="e">
        <f>IF(L7=VLOOKUP($A7,'SegEnds_Xtal_Prot#'!$A:$BO,15,FALSE),TRUE,FALSE)</f>
        <v>#N/A</v>
      </c>
      <c r="BK7" t="e">
        <f>IF(M7=VLOOKUP($A7,'SegEnds_Xtal_Prot#'!$A:$BO,17,FALSE),TRUE,FALSE)</f>
        <v>#N/A</v>
      </c>
      <c r="BL7" t="e">
        <f>IF(O7=VLOOKUP($A7,'SegEnds_Xtal_Prot#'!$A:$BO,19,FALSE),TRUE,FALSE)</f>
        <v>#N/A</v>
      </c>
      <c r="BM7" t="e">
        <f>IF(S7=VLOOKUP($A7,'SegEnds_Xtal_Prot#'!$A:$BO,25,FALSE),TRUE,FALSE)</f>
        <v>#N/A</v>
      </c>
      <c r="BN7" t="e">
        <f>IF(U7=VLOOKUP($A7,'SegEnds_Xtal_Prot#'!$A:$BO,27,FALSE),TRUE,FALSE)</f>
        <v>#N/A</v>
      </c>
      <c r="BO7" t="e">
        <f>IF(Y7=VLOOKUP($A7,'SegEnds_Xtal_Prot#'!$A:$BO,33,FALSE),TRUE,FALSE)</f>
        <v>#N/A</v>
      </c>
      <c r="BP7" t="e">
        <f>IF(AA7=VLOOKUP($A7,'SegEnds_Xtal_Prot#'!$A:$BO,35,FALSE),TRUE,FALSE)</f>
        <v>#N/A</v>
      </c>
      <c r="BQ7" t="e">
        <f>IF(AE7=VLOOKUP($A7,'SegEnds_Xtal_Prot#'!$A:$BO,41,FALSE),TRUE,FALSE)</f>
        <v>#N/A</v>
      </c>
      <c r="BR7" t="e">
        <f>IF(AG7=VLOOKUP($A7,'SegEnds_Xtal_Prot#'!$A:$BO,43,FALSE),TRUE,FALSE)</f>
        <v>#N/A</v>
      </c>
      <c r="BS7" t="e">
        <f>IF(AK7=VLOOKUP($A7,'SegEnds_Xtal_Prot#'!$A:$BO,49,FALSE),TRUE,FALSE)</f>
        <v>#N/A</v>
      </c>
      <c r="BT7" t="e">
        <f>IF(AM7=VLOOKUP($A7,'SegEnds_Xtal_Prot#'!$A:$BO,51,FALSE),TRUE,FALSE)</f>
        <v>#N/A</v>
      </c>
      <c r="BU7" t="e">
        <f>IF(AQ7=VLOOKUP($A7,'SegEnds_Xtal_Prot#'!$A:$BO,57,FALSE),TRUE,FALSE)</f>
        <v>#N/A</v>
      </c>
      <c r="BV7" t="e">
        <f>IF(AS7=VLOOKUP($A7,'SegEnds_Xtal_Prot#'!$A:$BO,59,FALSE),TRUE,FALSE)</f>
        <v>#N/A</v>
      </c>
      <c r="BW7" t="e">
        <f>IF(AW7=VLOOKUP($A7,'SegEnds_Xtal_Prot#'!$A:$BO,65,FALSE),TRUE,FALSE)</f>
        <v>#N/A</v>
      </c>
      <c r="BX7" t="e">
        <f>IF(AY7=VLOOKUP($A7,'SegEnds_Xtal_Prot#'!$A:$BO,67,FALSE),TRUE,FALSE)</f>
        <v>#N/A</v>
      </c>
    </row>
    <row r="8" spans="1:76" x14ac:dyDescent="0.2">
      <c r="A8" t="str">
        <f t="shared" si="0"/>
        <v>Q8NIR1_NEUCS__wt</v>
      </c>
      <c r="B8" t="s">
        <v>41</v>
      </c>
      <c r="C8" t="str">
        <f>VLOOKUP(B8,Seqs!A:B,2,FALSE)</f>
        <v>ste2_yeast</v>
      </c>
      <c r="D8">
        <f>VLOOKUP($B8,'SegEnds_NonXtal_BW#'!$A:$AR,3,FALSE)+E8-50</f>
        <v>37</v>
      </c>
      <c r="E8" s="2">
        <v>38</v>
      </c>
      <c r="F8">
        <f>VLOOKUP($B8,'SegEnds_NonXtal_BW#'!$A:$AR,4,FALSE)+E8-50</f>
        <v>47</v>
      </c>
      <c r="G8">
        <f>VLOOKUP($B8,'SegEnds_NonXtal_BW#'!$A:$AR,5,FALSE)+H8-50</f>
        <v>48</v>
      </c>
      <c r="H8" s="2">
        <v>49</v>
      </c>
      <c r="I8">
        <f>VLOOKUP($B8,'SegEnds_NonXtal_BW#'!$A:$AR,6,FALSE)+H8-50</f>
        <v>49</v>
      </c>
      <c r="J8">
        <f>VLOOKUP($B8,'SegEnds_NonXtal_BW#'!$A:$AR,7,FALSE)+K8-50</f>
        <v>50</v>
      </c>
      <c r="K8" s="2">
        <v>50</v>
      </c>
      <c r="L8">
        <f>VLOOKUP($B8,'SegEnds_NonXtal_BW#'!$A:$AR,8,FALSE)+K8-50</f>
        <v>55</v>
      </c>
      <c r="M8">
        <f>VLOOKUP($B8,'SegEnds_NonXtal_BW#'!$A:$AR,9,FALSE)+N8-50</f>
        <v>56</v>
      </c>
      <c r="N8" s="2">
        <v>81</v>
      </c>
      <c r="O8" s="1">
        <f>VLOOKUP($B8,'SegEnds_NonXtal_BW#'!$A:$AR,10,FALSE)+N8-50</f>
        <v>91</v>
      </c>
      <c r="P8" s="1" t="s">
        <v>66</v>
      </c>
      <c r="Q8" s="2" t="s">
        <v>66</v>
      </c>
      <c r="R8" s="1" t="s">
        <v>66</v>
      </c>
      <c r="S8">
        <f>VLOOKUP($B8,'SegEnds_NonXtal_BW#'!$A:$AR,13,FALSE)+T8-50</f>
        <v>99</v>
      </c>
      <c r="T8" s="2">
        <v>112</v>
      </c>
      <c r="U8">
        <f>VLOOKUP($B8,'SegEnds_NonXtal_BW#'!$A:$AR,14,FALSE)+T8-50</f>
        <v>125</v>
      </c>
      <c r="V8" s="1">
        <f>VLOOKUP($B8,'SegEnds_NonXtal_BW#'!$A:$AR,15,FALSE)+W8-50</f>
        <v>126</v>
      </c>
      <c r="W8" s="2">
        <v>131</v>
      </c>
      <c r="X8" s="1">
        <f>VLOOKUP($B8,'SegEnds_NonXtal_BW#'!$A:$AR,16,FALSE)+W8-50</f>
        <v>141</v>
      </c>
      <c r="Y8">
        <f>VLOOKUP($B8,'SegEnds_NonXtal_BW#'!$A:$AR,17,FALSE)+Z8-50</f>
        <v>142</v>
      </c>
      <c r="Z8" s="2">
        <v>170</v>
      </c>
      <c r="AA8" s="1">
        <f>VLOOKUP($B8,'SegEnds_NonXtal_BW#'!$A:$AR,18,FALSE)+Z8-50</f>
        <v>176</v>
      </c>
      <c r="AB8" s="1" t="s">
        <v>66</v>
      </c>
      <c r="AC8" s="2" t="s">
        <v>66</v>
      </c>
      <c r="AD8" s="1" t="s">
        <v>66</v>
      </c>
      <c r="AE8" s="1">
        <f>VLOOKUP($B8,'SegEnds_NonXtal_BW#'!$A:$AR,21,FALSE)+AF8-50</f>
        <v>181</v>
      </c>
      <c r="AF8" s="2">
        <v>198</v>
      </c>
      <c r="AG8">
        <f>VLOOKUP($B8,'SegEnds_NonXtal_BW#'!$A:$AR,22,FALSE)+AF8-50</f>
        <v>215</v>
      </c>
      <c r="AH8" s="1" t="s">
        <v>66</v>
      </c>
      <c r="AI8" s="2" t="s">
        <v>66</v>
      </c>
      <c r="AJ8" s="1" t="s">
        <v>66</v>
      </c>
      <c r="AK8">
        <f>VLOOKUP($B8,'SegEnds_NonXtal_BW#'!$A:$AR,25,FALSE)+AL8-50</f>
        <v>221</v>
      </c>
      <c r="AL8" s="2">
        <v>231</v>
      </c>
      <c r="AM8">
        <f>VLOOKUP($B8,'SegEnds_NonXtal_BW#'!$A:$AR,26,FALSE)+AL8-50</f>
        <v>256</v>
      </c>
      <c r="AN8" s="1" t="s">
        <v>66</v>
      </c>
      <c r="AO8" s="2" t="s">
        <v>66</v>
      </c>
      <c r="AP8" s="1" t="s">
        <v>66</v>
      </c>
      <c r="AQ8">
        <f>VLOOKUP($B8,'SegEnds_NonXtal_BW#'!$A:$AR,29,FALSE)+AR8-50</f>
        <v>264</v>
      </c>
      <c r="AR8" s="2">
        <v>286</v>
      </c>
      <c r="AS8">
        <f>VLOOKUP($B8,'SegEnds_NonXtal_BW#'!$A:$AR,30,FALSE)+AR8-50</f>
        <v>290</v>
      </c>
      <c r="AT8" s="1" t="s">
        <v>66</v>
      </c>
      <c r="AU8" s="2" t="s">
        <v>66</v>
      </c>
      <c r="AV8" s="1" t="s">
        <v>66</v>
      </c>
      <c r="AW8">
        <f>VLOOKUP($B8,'SegEnds_NonXtal_BW#'!$A:$AR,33,FALSE)+AX8-50</f>
        <v>296</v>
      </c>
      <c r="AX8" s="2">
        <v>307</v>
      </c>
      <c r="AY8">
        <f>VLOOKUP($B8,'SegEnds_NonXtal_BW#'!$A:$AR,34,FALSE)+AX8-50</f>
        <v>326</v>
      </c>
      <c r="AZ8" t="s">
        <v>66</v>
      </c>
      <c r="BA8" s="2" t="s">
        <v>66</v>
      </c>
      <c r="BB8" t="s">
        <v>66</v>
      </c>
      <c r="BD8" t="str">
        <f>IF(COUNTIF('SegEnds_Xtal_Prot#'!B:B,'SegEnds_NonXtal_Prot#'!B8)&gt;0,IF(COUNTIF(BK8:BX8,TRUE)=14,TRUE,FALSE),"NoXtal")</f>
        <v>NoXtal</v>
      </c>
      <c r="BE8" t="e">
        <f>IF(D8=VLOOKUP($A8,'SegEnds_Xtal_Prot#'!$A:$BO,5,FALSE),TRUE,FALSE)</f>
        <v>#N/A</v>
      </c>
      <c r="BF8" t="e">
        <f>IF(F8=VLOOKUP($A8,'SegEnds_Xtal_Prot#'!$A:$BO,7,FALSE),TRUE,FALSE)</f>
        <v>#N/A</v>
      </c>
      <c r="BG8" t="e">
        <f>IF(G8=VLOOKUP($A8,'SegEnds_Xtal_Prot#'!$A:$BO,9,FALSE),TRUE,FALSE)</f>
        <v>#N/A</v>
      </c>
      <c r="BH8" t="e">
        <f>IF(I8=VLOOKUP($A8,'SegEnds_Xtal_Prot#'!$A:$BO,11,FALSE),TRUE,FALSE)</f>
        <v>#N/A</v>
      </c>
      <c r="BI8" t="e">
        <f>IF(J8=VLOOKUP($A8,'SegEnds_Xtal_Prot#'!$A:$BO,13,FALSE),TRUE,FALSE)</f>
        <v>#N/A</v>
      </c>
      <c r="BJ8" t="e">
        <f>IF(L8=VLOOKUP($A8,'SegEnds_Xtal_Prot#'!$A:$BO,15,FALSE),TRUE,FALSE)</f>
        <v>#N/A</v>
      </c>
      <c r="BK8" t="e">
        <f>IF(M8=VLOOKUP($A8,'SegEnds_Xtal_Prot#'!$A:$BO,17,FALSE),TRUE,FALSE)</f>
        <v>#N/A</v>
      </c>
      <c r="BL8" t="e">
        <f>IF(O8=VLOOKUP($A8,'SegEnds_Xtal_Prot#'!$A:$BO,19,FALSE),TRUE,FALSE)</f>
        <v>#N/A</v>
      </c>
      <c r="BM8" t="e">
        <f>IF(S8=VLOOKUP($A8,'SegEnds_Xtal_Prot#'!$A:$BO,25,FALSE),TRUE,FALSE)</f>
        <v>#N/A</v>
      </c>
      <c r="BN8" t="e">
        <f>IF(U8=VLOOKUP($A8,'SegEnds_Xtal_Prot#'!$A:$BO,27,FALSE),TRUE,FALSE)</f>
        <v>#N/A</v>
      </c>
      <c r="BO8" t="e">
        <f>IF(Y8=VLOOKUP($A8,'SegEnds_Xtal_Prot#'!$A:$BO,33,FALSE),TRUE,FALSE)</f>
        <v>#N/A</v>
      </c>
      <c r="BP8" t="e">
        <f>IF(AA8=VLOOKUP($A8,'SegEnds_Xtal_Prot#'!$A:$BO,35,FALSE),TRUE,FALSE)</f>
        <v>#N/A</v>
      </c>
      <c r="BQ8" t="e">
        <f>IF(AE8=VLOOKUP($A8,'SegEnds_Xtal_Prot#'!$A:$BO,41,FALSE),TRUE,FALSE)</f>
        <v>#N/A</v>
      </c>
      <c r="BR8" t="e">
        <f>IF(AG8=VLOOKUP($A8,'SegEnds_Xtal_Prot#'!$A:$BO,43,FALSE),TRUE,FALSE)</f>
        <v>#N/A</v>
      </c>
      <c r="BS8" t="e">
        <f>IF(AK8=VLOOKUP($A8,'SegEnds_Xtal_Prot#'!$A:$BO,49,FALSE),TRUE,FALSE)</f>
        <v>#N/A</v>
      </c>
      <c r="BT8" t="e">
        <f>IF(AM8=VLOOKUP($A8,'SegEnds_Xtal_Prot#'!$A:$BO,51,FALSE),TRUE,FALSE)</f>
        <v>#N/A</v>
      </c>
      <c r="BU8" t="e">
        <f>IF(AQ8=VLOOKUP($A8,'SegEnds_Xtal_Prot#'!$A:$BO,57,FALSE),TRUE,FALSE)</f>
        <v>#N/A</v>
      </c>
      <c r="BV8" t="e">
        <f>IF(AS8=VLOOKUP($A8,'SegEnds_Xtal_Prot#'!$A:$BO,59,FALSE),TRUE,FALSE)</f>
        <v>#N/A</v>
      </c>
      <c r="BW8" t="e">
        <f>IF(AW8=VLOOKUP($A8,'SegEnds_Xtal_Prot#'!$A:$BO,65,FALSE),TRUE,FALSE)</f>
        <v>#N/A</v>
      </c>
      <c r="BX8" t="e">
        <f>IF(AY8=VLOOKUP($A8,'SegEnds_Xtal_Prot#'!$A:$BO,67,FALSE),TRUE,FALSE)</f>
        <v>#N/A</v>
      </c>
    </row>
    <row r="9" spans="1:76" x14ac:dyDescent="0.2">
      <c r="A9" t="str">
        <f t="shared" ref="A9" si="1">CONCATENATE(B9,"__wt")</f>
        <v>STE2_LACKL__wt</v>
      </c>
      <c r="B9" t="s">
        <v>83</v>
      </c>
      <c r="C9" t="str">
        <f>VLOOKUP(B9,Seqs!A:B,2,FALSE)</f>
        <v>ste2_yeast</v>
      </c>
      <c r="D9">
        <f>VLOOKUP($B9,'SegEnds_NonXtal_BW#'!$A:$AR,3,FALSE)+E9-50</f>
        <v>17</v>
      </c>
      <c r="E9" s="2">
        <v>18</v>
      </c>
      <c r="F9">
        <f>VLOOKUP($B9,'SegEnds_NonXtal_BW#'!$A:$AR,4,FALSE)+E9-50</f>
        <v>27</v>
      </c>
      <c r="G9">
        <f>VLOOKUP($B9,'SegEnds_NonXtal_BW#'!$A:$AR,5,FALSE)+H9-50</f>
        <v>28</v>
      </c>
      <c r="H9" s="2">
        <v>29</v>
      </c>
      <c r="I9">
        <f>VLOOKUP($B9,'SegEnds_NonXtal_BW#'!$A:$AR,6,FALSE)+H9-50</f>
        <v>29</v>
      </c>
      <c r="J9">
        <f>VLOOKUP($B9,'SegEnds_NonXtal_BW#'!$A:$AR,7,FALSE)+K9-50</f>
        <v>30</v>
      </c>
      <c r="K9" s="2">
        <v>30</v>
      </c>
      <c r="L9">
        <f>VLOOKUP($B9,'SegEnds_NonXtal_BW#'!$A:$AR,8,FALSE)+K9-50</f>
        <v>35</v>
      </c>
      <c r="M9">
        <f>VLOOKUP($B9,'SegEnds_NonXtal_BW#'!$A:$AR,9,FALSE)+N9-50</f>
        <v>36</v>
      </c>
      <c r="N9" s="2">
        <v>61</v>
      </c>
      <c r="O9" s="1">
        <f>VLOOKUP($B9,'SegEnds_NonXtal_BW#'!$A:$AR,10,FALSE)+N9-50</f>
        <v>71</v>
      </c>
      <c r="P9" s="1" t="s">
        <v>66</v>
      </c>
      <c r="Q9" s="2" t="s">
        <v>66</v>
      </c>
      <c r="R9" s="1" t="s">
        <v>66</v>
      </c>
      <c r="S9">
        <f>VLOOKUP($B9,'SegEnds_NonXtal_BW#'!$A:$AR,13,FALSE)+T9-50</f>
        <v>77</v>
      </c>
      <c r="T9" s="2">
        <v>90</v>
      </c>
      <c r="U9">
        <f>VLOOKUP($B9,'SegEnds_NonXtal_BW#'!$A:$AR,14,FALSE)+T9-50</f>
        <v>103</v>
      </c>
      <c r="V9" s="1">
        <f>VLOOKUP($B9,'SegEnds_NonXtal_BW#'!$A:$AR,15,FALSE)+W9-50</f>
        <v>104</v>
      </c>
      <c r="W9" s="2">
        <v>109</v>
      </c>
      <c r="X9" s="1">
        <f>VLOOKUP($B9,'SegEnds_NonXtal_BW#'!$A:$AR,16,FALSE)+W9-50</f>
        <v>119</v>
      </c>
      <c r="Y9">
        <f>VLOOKUP($B9,'SegEnds_NonXtal_BW#'!$A:$AR,17,FALSE)+Z9-50</f>
        <v>120</v>
      </c>
      <c r="Z9" s="2">
        <v>148</v>
      </c>
      <c r="AA9" s="1">
        <f>VLOOKUP($B9,'SegEnds_NonXtal_BW#'!$A:$AR,18,FALSE)+Z9-50</f>
        <v>154</v>
      </c>
      <c r="AB9" s="1" t="s">
        <v>66</v>
      </c>
      <c r="AC9" s="2" t="s">
        <v>66</v>
      </c>
      <c r="AD9" s="1" t="s">
        <v>66</v>
      </c>
      <c r="AE9" s="1">
        <f>VLOOKUP($B9,'SegEnds_NonXtal_BW#'!$A:$AR,21,FALSE)+AF9-50</f>
        <v>160</v>
      </c>
      <c r="AF9" s="2">
        <v>177</v>
      </c>
      <c r="AG9">
        <f>VLOOKUP($B9,'SegEnds_NonXtal_BW#'!$A:$AR,22,FALSE)+AF9-50</f>
        <v>194</v>
      </c>
      <c r="AH9" s="1" t="s">
        <v>66</v>
      </c>
      <c r="AI9" s="2" t="s">
        <v>66</v>
      </c>
      <c r="AJ9" s="1" t="s">
        <v>66</v>
      </c>
      <c r="AK9">
        <f>VLOOKUP($B9,'SegEnds_NonXtal_BW#'!$A:$AR,25,FALSE)+AL9-50</f>
        <v>201</v>
      </c>
      <c r="AL9" s="2">
        <v>211</v>
      </c>
      <c r="AM9">
        <f>VLOOKUP($B9,'SegEnds_NonXtal_BW#'!$A:$AR,26,FALSE)+AL9-50</f>
        <v>236</v>
      </c>
      <c r="AN9" s="1" t="s">
        <v>66</v>
      </c>
      <c r="AO9" s="2" t="s">
        <v>66</v>
      </c>
      <c r="AP9" s="1" t="s">
        <v>66</v>
      </c>
      <c r="AQ9">
        <f>VLOOKUP($B9,'SegEnds_NonXtal_BW#'!$A:$AR,29,FALSE)+AR9-50</f>
        <v>242</v>
      </c>
      <c r="AR9" s="2">
        <v>264</v>
      </c>
      <c r="AS9">
        <f>VLOOKUP($B9,'SegEnds_NonXtal_BW#'!$A:$AR,30,FALSE)+AR9-50</f>
        <v>268</v>
      </c>
      <c r="AT9" s="1" t="s">
        <v>66</v>
      </c>
      <c r="AU9" s="2" t="s">
        <v>66</v>
      </c>
      <c r="AV9" s="1" t="s">
        <v>66</v>
      </c>
      <c r="AW9">
        <f>VLOOKUP($B9,'SegEnds_NonXtal_BW#'!$A:$AR,33,FALSE)+AX9-50</f>
        <v>276</v>
      </c>
      <c r="AX9" s="2">
        <v>287</v>
      </c>
      <c r="AY9">
        <f>VLOOKUP($B9,'SegEnds_NonXtal_BW#'!$A:$AR,34,FALSE)+AX9-50</f>
        <v>306</v>
      </c>
      <c r="AZ9" t="s">
        <v>66</v>
      </c>
      <c r="BA9" s="2" t="s">
        <v>66</v>
      </c>
      <c r="BB9" t="s">
        <v>66</v>
      </c>
      <c r="BD9" t="str">
        <f>IF(COUNTIF('SegEnds_Xtal_Prot#'!B:B,'SegEnds_NonXtal_Prot#'!B9)&gt;0,IF(COUNTIF(BK9:BX9,TRUE)=14,TRUE,FALSE),"NoXtal")</f>
        <v>NoXtal</v>
      </c>
      <c r="BE9" t="e">
        <f>IF(D9=VLOOKUP($A9,'SegEnds_Xtal_Prot#'!$A:$BO,5,FALSE),TRUE,FALSE)</f>
        <v>#N/A</v>
      </c>
      <c r="BF9" t="e">
        <f>IF(F9=VLOOKUP($A9,'SegEnds_Xtal_Prot#'!$A:$BO,7,FALSE),TRUE,FALSE)</f>
        <v>#N/A</v>
      </c>
      <c r="BG9" t="e">
        <f>IF(G9=VLOOKUP($A9,'SegEnds_Xtal_Prot#'!$A:$BO,9,FALSE),TRUE,FALSE)</f>
        <v>#N/A</v>
      </c>
      <c r="BH9" t="e">
        <f>IF(I9=VLOOKUP($A9,'SegEnds_Xtal_Prot#'!$A:$BO,11,FALSE),TRUE,FALSE)</f>
        <v>#N/A</v>
      </c>
      <c r="BI9" t="e">
        <f>IF(J9=VLOOKUP($A9,'SegEnds_Xtal_Prot#'!$A:$BO,13,FALSE),TRUE,FALSE)</f>
        <v>#N/A</v>
      </c>
      <c r="BJ9" t="e">
        <f>IF(L9=VLOOKUP($A9,'SegEnds_Xtal_Prot#'!$A:$BO,15,FALSE),TRUE,FALSE)</f>
        <v>#N/A</v>
      </c>
      <c r="BK9" t="e">
        <f>IF(M9=VLOOKUP($A9,'SegEnds_Xtal_Prot#'!$A:$BO,17,FALSE),TRUE,FALSE)</f>
        <v>#N/A</v>
      </c>
      <c r="BL9" t="e">
        <f>IF(O9=VLOOKUP($A9,'SegEnds_Xtal_Prot#'!$A:$BO,19,FALSE),TRUE,FALSE)</f>
        <v>#N/A</v>
      </c>
      <c r="BM9" t="e">
        <f>IF(S9=VLOOKUP($A9,'SegEnds_Xtal_Prot#'!$A:$BO,25,FALSE),TRUE,FALSE)</f>
        <v>#N/A</v>
      </c>
      <c r="BN9" t="e">
        <f>IF(U9=VLOOKUP($A9,'SegEnds_Xtal_Prot#'!$A:$BO,27,FALSE),TRUE,FALSE)</f>
        <v>#N/A</v>
      </c>
      <c r="BO9" t="e">
        <f>IF(Y9=VLOOKUP($A9,'SegEnds_Xtal_Prot#'!$A:$BO,33,FALSE),TRUE,FALSE)</f>
        <v>#N/A</v>
      </c>
      <c r="BP9" t="e">
        <f>IF(AA9=VLOOKUP($A9,'SegEnds_Xtal_Prot#'!$A:$BO,35,FALSE),TRUE,FALSE)</f>
        <v>#N/A</v>
      </c>
      <c r="BQ9" t="e">
        <f>IF(AE9=VLOOKUP($A9,'SegEnds_Xtal_Prot#'!$A:$BO,41,FALSE),TRUE,FALSE)</f>
        <v>#N/A</v>
      </c>
      <c r="BR9" t="e">
        <f>IF(AG9=VLOOKUP($A9,'SegEnds_Xtal_Prot#'!$A:$BO,43,FALSE),TRUE,FALSE)</f>
        <v>#N/A</v>
      </c>
      <c r="BS9" t="e">
        <f>IF(AK9=VLOOKUP($A9,'SegEnds_Xtal_Prot#'!$A:$BO,49,FALSE),TRUE,FALSE)</f>
        <v>#N/A</v>
      </c>
      <c r="BT9" t="e">
        <f>IF(AM9=VLOOKUP($A9,'SegEnds_Xtal_Prot#'!$A:$BO,51,FALSE),TRUE,FALSE)</f>
        <v>#N/A</v>
      </c>
      <c r="BU9" t="e">
        <f>IF(AQ9=VLOOKUP($A9,'SegEnds_Xtal_Prot#'!$A:$BO,57,FALSE),TRUE,FALSE)</f>
        <v>#N/A</v>
      </c>
      <c r="BV9" t="e">
        <f>IF(AS9=VLOOKUP($A9,'SegEnds_Xtal_Prot#'!$A:$BO,59,FALSE),TRUE,FALSE)</f>
        <v>#N/A</v>
      </c>
      <c r="BW9" t="e">
        <f>IF(AW9=VLOOKUP($A9,'SegEnds_Xtal_Prot#'!$A:$BO,65,FALSE),TRUE,FALSE)</f>
        <v>#N/A</v>
      </c>
      <c r="BX9" t="e">
        <f>IF(AY9=VLOOKUP($A9,'SegEnds_Xtal_Prot#'!$A:$BO,67,FALSE),TRUE,FALSE)</f>
        <v>#N/A</v>
      </c>
    </row>
    <row r="10" spans="1:76" x14ac:dyDescent="0.2">
      <c r="A10" t="str">
        <f t="shared" ref="A10" si="2">CONCATENATE(B10,"__wt")</f>
        <v>Q6FLY8_CANGA__wt</v>
      </c>
      <c r="B10" t="s">
        <v>86</v>
      </c>
      <c r="C10" t="str">
        <f>VLOOKUP(B10,Seqs!A:B,2,FALSE)</f>
        <v>ste2_yeast</v>
      </c>
      <c r="D10">
        <f>VLOOKUP($B10,'SegEnds_NonXtal_BW#'!$A:$AR,3,FALSE)+E10-50</f>
        <v>11</v>
      </c>
      <c r="E10" s="2">
        <v>12</v>
      </c>
      <c r="F10">
        <f>VLOOKUP($B10,'SegEnds_NonXtal_BW#'!$A:$AR,4,FALSE)+E10-50</f>
        <v>21</v>
      </c>
      <c r="G10">
        <f>VLOOKUP($B10,'SegEnds_NonXtal_BW#'!$A:$AR,5,FALSE)+H10-50</f>
        <v>22</v>
      </c>
      <c r="H10" s="2">
        <v>23</v>
      </c>
      <c r="I10">
        <f>VLOOKUP($B10,'SegEnds_NonXtal_BW#'!$A:$AR,6,FALSE)+H10-50</f>
        <v>23</v>
      </c>
      <c r="J10">
        <f>VLOOKUP($B10,'SegEnds_NonXtal_BW#'!$A:$AR,7,FALSE)+K10-50</f>
        <v>24</v>
      </c>
      <c r="K10" s="2">
        <v>24</v>
      </c>
      <c r="L10">
        <f>VLOOKUP($B10,'SegEnds_NonXtal_BW#'!$A:$AR,8,FALSE)+K10-50</f>
        <v>29</v>
      </c>
      <c r="M10">
        <f>VLOOKUP($B10,'SegEnds_NonXtal_BW#'!$A:$AR,9,FALSE)+N10-50</f>
        <v>30</v>
      </c>
      <c r="N10" s="2">
        <v>55</v>
      </c>
      <c r="O10" s="1">
        <f>VLOOKUP($B10,'SegEnds_NonXtal_BW#'!$A:$AR,10,FALSE)+N10-50</f>
        <v>65</v>
      </c>
      <c r="P10" s="1" t="s">
        <v>66</v>
      </c>
      <c r="Q10" s="2" t="s">
        <v>66</v>
      </c>
      <c r="R10" s="1" t="s">
        <v>66</v>
      </c>
      <c r="S10">
        <f>VLOOKUP($B10,'SegEnds_NonXtal_BW#'!$A:$AR,13,FALSE)+T10-50</f>
        <v>71</v>
      </c>
      <c r="T10" s="2">
        <v>84</v>
      </c>
      <c r="U10">
        <f>VLOOKUP($B10,'SegEnds_NonXtal_BW#'!$A:$AR,14,FALSE)+T10-50</f>
        <v>97</v>
      </c>
      <c r="V10" s="1">
        <f>VLOOKUP($B10,'SegEnds_NonXtal_BW#'!$A:$AR,15,FALSE)+W10-50</f>
        <v>98</v>
      </c>
      <c r="W10" s="2">
        <v>103</v>
      </c>
      <c r="X10" s="1">
        <f>VLOOKUP($B10,'SegEnds_NonXtal_BW#'!$A:$AR,16,FALSE)+W10-50</f>
        <v>113</v>
      </c>
      <c r="Y10">
        <f>VLOOKUP($B10,'SegEnds_NonXtal_BW#'!$A:$AR,17,FALSE)+Z10-50</f>
        <v>114</v>
      </c>
      <c r="Z10" s="2">
        <v>142</v>
      </c>
      <c r="AA10" s="1">
        <f>VLOOKUP($B10,'SegEnds_NonXtal_BW#'!$A:$AR,18,FALSE)+Z10-50</f>
        <v>148</v>
      </c>
      <c r="AB10" s="1" t="s">
        <v>66</v>
      </c>
      <c r="AC10" s="2" t="s">
        <v>66</v>
      </c>
      <c r="AD10" s="1" t="s">
        <v>66</v>
      </c>
      <c r="AE10" s="1">
        <f>VLOOKUP($B10,'SegEnds_NonXtal_BW#'!$A:$AR,21,FALSE)+AF10-50</f>
        <v>154</v>
      </c>
      <c r="AF10" s="2">
        <v>171</v>
      </c>
      <c r="AG10">
        <f>VLOOKUP($B10,'SegEnds_NonXtal_BW#'!$A:$AR,22,FALSE)+AF10-50</f>
        <v>188</v>
      </c>
      <c r="AH10" s="1" t="s">
        <v>66</v>
      </c>
      <c r="AI10" s="2" t="s">
        <v>66</v>
      </c>
      <c r="AJ10" s="1" t="s">
        <v>66</v>
      </c>
      <c r="AK10">
        <f>VLOOKUP($B10,'SegEnds_NonXtal_BW#'!$A:$AR,25,FALSE)+AL10-50</f>
        <v>194</v>
      </c>
      <c r="AL10" s="2">
        <v>204</v>
      </c>
      <c r="AM10">
        <f>VLOOKUP($B10,'SegEnds_NonXtal_BW#'!$A:$AR,26,FALSE)+AL10-50</f>
        <v>229</v>
      </c>
      <c r="AN10" s="1" t="s">
        <v>66</v>
      </c>
      <c r="AO10" s="2" t="s">
        <v>66</v>
      </c>
      <c r="AP10" s="1" t="s">
        <v>66</v>
      </c>
      <c r="AQ10">
        <f>VLOOKUP($B10,'SegEnds_NonXtal_BW#'!$A:$AR,29,FALSE)+AR10-50</f>
        <v>235</v>
      </c>
      <c r="AR10" s="2">
        <v>257</v>
      </c>
      <c r="AS10">
        <f>VLOOKUP($B10,'SegEnds_NonXtal_BW#'!$A:$AR,30,FALSE)+AR10-50</f>
        <v>261</v>
      </c>
      <c r="AT10" s="1" t="s">
        <v>66</v>
      </c>
      <c r="AU10" s="2" t="s">
        <v>66</v>
      </c>
      <c r="AV10" s="1" t="s">
        <v>66</v>
      </c>
      <c r="AW10">
        <f>VLOOKUP($B10,'SegEnds_NonXtal_BW#'!$A:$AR,33,FALSE)+AX10-50</f>
        <v>269</v>
      </c>
      <c r="AX10" s="2">
        <v>280</v>
      </c>
      <c r="AY10">
        <f>VLOOKUP($B10,'SegEnds_NonXtal_BW#'!$A:$AR,34,FALSE)+AX10-50</f>
        <v>299</v>
      </c>
      <c r="AZ10" t="s">
        <v>66</v>
      </c>
      <c r="BA10" s="2" t="s">
        <v>66</v>
      </c>
      <c r="BB10" t="s">
        <v>66</v>
      </c>
      <c r="BD10" t="str">
        <f>IF(COUNTIF('SegEnds_Xtal_Prot#'!B:B,'SegEnds_NonXtal_Prot#'!B10)&gt;0,IF(COUNTIF(BK10:BX10,TRUE)=14,TRUE,FALSE),"NoXtal")</f>
        <v>NoXtal</v>
      </c>
      <c r="BE10" t="e">
        <f>IF(D10=VLOOKUP($A10,'SegEnds_Xtal_Prot#'!$A:$BO,5,FALSE),TRUE,FALSE)</f>
        <v>#N/A</v>
      </c>
      <c r="BF10" t="e">
        <f>IF(F10=VLOOKUP($A10,'SegEnds_Xtal_Prot#'!$A:$BO,7,FALSE),TRUE,FALSE)</f>
        <v>#N/A</v>
      </c>
      <c r="BG10" t="e">
        <f>IF(G10=VLOOKUP($A10,'SegEnds_Xtal_Prot#'!$A:$BO,9,FALSE),TRUE,FALSE)</f>
        <v>#N/A</v>
      </c>
      <c r="BH10" t="e">
        <f>IF(I10=VLOOKUP($A10,'SegEnds_Xtal_Prot#'!$A:$BO,11,FALSE),TRUE,FALSE)</f>
        <v>#N/A</v>
      </c>
      <c r="BI10" t="e">
        <f>IF(J10=VLOOKUP($A10,'SegEnds_Xtal_Prot#'!$A:$BO,13,FALSE),TRUE,FALSE)</f>
        <v>#N/A</v>
      </c>
      <c r="BJ10" t="e">
        <f>IF(L10=VLOOKUP($A10,'SegEnds_Xtal_Prot#'!$A:$BO,15,FALSE),TRUE,FALSE)</f>
        <v>#N/A</v>
      </c>
      <c r="BK10" t="e">
        <f>IF(M10=VLOOKUP($A10,'SegEnds_Xtal_Prot#'!$A:$BO,17,FALSE),TRUE,FALSE)</f>
        <v>#N/A</v>
      </c>
      <c r="BL10" t="e">
        <f>IF(O10=VLOOKUP($A10,'SegEnds_Xtal_Prot#'!$A:$BO,19,FALSE),TRUE,FALSE)</f>
        <v>#N/A</v>
      </c>
      <c r="BM10" t="e">
        <f>IF(S10=VLOOKUP($A10,'SegEnds_Xtal_Prot#'!$A:$BO,25,FALSE),TRUE,FALSE)</f>
        <v>#N/A</v>
      </c>
      <c r="BN10" t="e">
        <f>IF(U10=VLOOKUP($A10,'SegEnds_Xtal_Prot#'!$A:$BO,27,FALSE),TRUE,FALSE)</f>
        <v>#N/A</v>
      </c>
      <c r="BO10" t="e">
        <f>IF(Y10=VLOOKUP($A10,'SegEnds_Xtal_Prot#'!$A:$BO,33,FALSE),TRUE,FALSE)</f>
        <v>#N/A</v>
      </c>
      <c r="BP10" t="e">
        <f>IF(AA10=VLOOKUP($A10,'SegEnds_Xtal_Prot#'!$A:$BO,35,FALSE),TRUE,FALSE)</f>
        <v>#N/A</v>
      </c>
      <c r="BQ10" t="e">
        <f>IF(AE10=VLOOKUP($A10,'SegEnds_Xtal_Prot#'!$A:$BO,41,FALSE),TRUE,FALSE)</f>
        <v>#N/A</v>
      </c>
      <c r="BR10" t="e">
        <f>IF(AG10=VLOOKUP($A10,'SegEnds_Xtal_Prot#'!$A:$BO,43,FALSE),TRUE,FALSE)</f>
        <v>#N/A</v>
      </c>
      <c r="BS10" t="e">
        <f>IF(AK10=VLOOKUP($A10,'SegEnds_Xtal_Prot#'!$A:$BO,49,FALSE),TRUE,FALSE)</f>
        <v>#N/A</v>
      </c>
      <c r="BT10" t="e">
        <f>IF(AM10=VLOOKUP($A10,'SegEnds_Xtal_Prot#'!$A:$BO,51,FALSE),TRUE,FALSE)</f>
        <v>#N/A</v>
      </c>
      <c r="BU10" t="e">
        <f>IF(AQ10=VLOOKUP($A10,'SegEnds_Xtal_Prot#'!$A:$BO,57,FALSE),TRUE,FALSE)</f>
        <v>#N/A</v>
      </c>
      <c r="BV10" t="e">
        <f>IF(AS10=VLOOKUP($A10,'SegEnds_Xtal_Prot#'!$A:$BO,59,FALSE),TRUE,FALSE)</f>
        <v>#N/A</v>
      </c>
      <c r="BW10" t="e">
        <f>IF(AW10=VLOOKUP($A10,'SegEnds_Xtal_Prot#'!$A:$BO,65,FALSE),TRUE,FALSE)</f>
        <v>#N/A</v>
      </c>
      <c r="BX10" t="e">
        <f>IF(AY10=VLOOKUP($A10,'SegEnds_Xtal_Prot#'!$A:$BO,67,FALSE),TRUE,FALSE)</f>
        <v>#N/A</v>
      </c>
    </row>
    <row r="11" spans="1:76" x14ac:dyDescent="0.2">
      <c r="A11" t="str">
        <f t="shared" ref="A11:A12" si="3">CONCATENATE(B11,"__wt")</f>
        <v>G2YE05_BOTF4__wt</v>
      </c>
      <c r="B11" t="s">
        <v>88</v>
      </c>
      <c r="C11" t="str">
        <f>VLOOKUP(B11,Seqs!A:B,2,FALSE)</f>
        <v>ste2_yeast</v>
      </c>
      <c r="D11">
        <f>VLOOKUP($B11,'SegEnds_NonXtal_BW#'!$A:$AR,3,FALSE)+E11-50</f>
        <v>9</v>
      </c>
      <c r="E11" s="2">
        <v>10</v>
      </c>
      <c r="F11">
        <f>VLOOKUP($B11,'SegEnds_NonXtal_BW#'!$A:$AR,4,FALSE)+E11-50</f>
        <v>19</v>
      </c>
      <c r="G11">
        <f>VLOOKUP($B11,'SegEnds_NonXtal_BW#'!$A:$AR,5,FALSE)+H11-50</f>
        <v>20</v>
      </c>
      <c r="H11" s="2">
        <v>21</v>
      </c>
      <c r="I11">
        <f>VLOOKUP($B11,'SegEnds_NonXtal_BW#'!$A:$AR,6,FALSE)+H11-50</f>
        <v>21</v>
      </c>
      <c r="J11">
        <f>VLOOKUP($B11,'SegEnds_NonXtal_BW#'!$A:$AR,7,FALSE)+K11-50</f>
        <v>22</v>
      </c>
      <c r="K11" s="2">
        <v>22</v>
      </c>
      <c r="L11">
        <f>VLOOKUP($B11,'SegEnds_NonXtal_BW#'!$A:$AR,8,FALSE)+K11-50</f>
        <v>28</v>
      </c>
      <c r="M11">
        <f>VLOOKUP($B11,'SegEnds_NonXtal_BW#'!$A:$AR,9,FALSE)+N11-50</f>
        <v>29</v>
      </c>
      <c r="N11" s="2">
        <v>54</v>
      </c>
      <c r="O11" s="1">
        <f>VLOOKUP($B11,'SegEnds_NonXtal_BW#'!$A:$AR,10,FALSE)+N11-50</f>
        <v>64</v>
      </c>
      <c r="P11" s="1" t="s">
        <v>66</v>
      </c>
      <c r="Q11" s="2" t="s">
        <v>66</v>
      </c>
      <c r="R11" s="1" t="s">
        <v>66</v>
      </c>
      <c r="S11">
        <f>VLOOKUP($B11,'SegEnds_NonXtal_BW#'!$A:$AR,13,FALSE)+T11-50</f>
        <v>72</v>
      </c>
      <c r="T11" s="2">
        <v>85</v>
      </c>
      <c r="U11">
        <f>VLOOKUP($B11,'SegEnds_NonXtal_BW#'!$A:$AR,14,FALSE)+T11-50</f>
        <v>98</v>
      </c>
      <c r="V11" s="1">
        <f>VLOOKUP($B11,'SegEnds_NonXtal_BW#'!$A:$AR,15,FALSE)+W11-50</f>
        <v>99</v>
      </c>
      <c r="W11" s="2">
        <v>104</v>
      </c>
      <c r="X11" s="1">
        <f>VLOOKUP($B11,'SegEnds_NonXtal_BW#'!$A:$AR,16,FALSE)+W11-50</f>
        <v>114</v>
      </c>
      <c r="Y11">
        <f>VLOOKUP($B11,'SegEnds_NonXtal_BW#'!$A:$AR,17,FALSE)+Z11-50</f>
        <v>115</v>
      </c>
      <c r="Z11" s="2">
        <v>143</v>
      </c>
      <c r="AA11" s="1">
        <f>VLOOKUP($B11,'SegEnds_NonXtal_BW#'!$A:$AR,18,FALSE)+Z11-50</f>
        <v>149</v>
      </c>
      <c r="AB11" s="1" t="s">
        <v>66</v>
      </c>
      <c r="AC11" s="2" t="s">
        <v>66</v>
      </c>
      <c r="AD11" s="1" t="s">
        <v>66</v>
      </c>
      <c r="AE11" s="1">
        <f>VLOOKUP($B11,'SegEnds_NonXtal_BW#'!$A:$AR,21,FALSE)+AF11-50</f>
        <v>154</v>
      </c>
      <c r="AF11" s="2">
        <v>171</v>
      </c>
      <c r="AG11">
        <f>VLOOKUP($B11,'SegEnds_NonXtal_BW#'!$A:$AR,22,FALSE)+AF11-50</f>
        <v>188</v>
      </c>
      <c r="AH11" s="1" t="s">
        <v>66</v>
      </c>
      <c r="AI11" s="2" t="s">
        <v>66</v>
      </c>
      <c r="AJ11" s="1" t="s">
        <v>66</v>
      </c>
      <c r="AK11">
        <f>VLOOKUP($B11,'SegEnds_NonXtal_BW#'!$A:$AR,25,FALSE)+AL11-50</f>
        <v>196</v>
      </c>
      <c r="AL11" s="2">
        <v>206</v>
      </c>
      <c r="AM11">
        <f>VLOOKUP($B11,'SegEnds_NonXtal_BW#'!$A:$AR,26,FALSE)+AL11-50</f>
        <v>231</v>
      </c>
      <c r="AN11" s="1" t="s">
        <v>66</v>
      </c>
      <c r="AO11" s="2" t="s">
        <v>66</v>
      </c>
      <c r="AP11" s="1" t="s">
        <v>66</v>
      </c>
      <c r="AQ11">
        <f>VLOOKUP($B11,'SegEnds_NonXtal_BW#'!$A:$AR,29,FALSE)+AR11-50</f>
        <v>237</v>
      </c>
      <c r="AR11" s="2">
        <v>259</v>
      </c>
      <c r="AS11">
        <f>VLOOKUP($B11,'SegEnds_NonXtal_BW#'!$A:$AR,30,FALSE)+AR11-50</f>
        <v>263</v>
      </c>
      <c r="AT11" s="1" t="s">
        <v>66</v>
      </c>
      <c r="AU11" s="2" t="s">
        <v>66</v>
      </c>
      <c r="AV11" s="1" t="s">
        <v>66</v>
      </c>
      <c r="AW11">
        <f>VLOOKUP($B11,'SegEnds_NonXtal_BW#'!$A:$AR,33,FALSE)+AX11-50</f>
        <v>269</v>
      </c>
      <c r="AX11" s="2">
        <v>280</v>
      </c>
      <c r="AY11">
        <f>VLOOKUP($B11,'SegEnds_NonXtal_BW#'!$A:$AR,34,FALSE)+AX11-50</f>
        <v>299</v>
      </c>
      <c r="AZ11" t="s">
        <v>66</v>
      </c>
      <c r="BA11" s="2" t="s">
        <v>66</v>
      </c>
      <c r="BB11" t="s">
        <v>66</v>
      </c>
      <c r="BD11" t="str">
        <f>IF(COUNTIF('SegEnds_Xtal_Prot#'!B:B,'SegEnds_NonXtal_Prot#'!B11)&gt;0,IF(COUNTIF(BK11:BX11,TRUE)=14,TRUE,FALSE),"NoXtal")</f>
        <v>NoXtal</v>
      </c>
      <c r="BE11" t="e">
        <f>IF(D11=VLOOKUP($A11,'SegEnds_Xtal_Prot#'!$A:$BO,5,FALSE),TRUE,FALSE)</f>
        <v>#N/A</v>
      </c>
      <c r="BF11" t="e">
        <f>IF(F11=VLOOKUP($A11,'SegEnds_Xtal_Prot#'!$A:$BO,7,FALSE),TRUE,FALSE)</f>
        <v>#N/A</v>
      </c>
      <c r="BG11" t="e">
        <f>IF(G11=VLOOKUP($A11,'SegEnds_Xtal_Prot#'!$A:$BO,9,FALSE),TRUE,FALSE)</f>
        <v>#N/A</v>
      </c>
      <c r="BH11" t="e">
        <f>IF(I11=VLOOKUP($A11,'SegEnds_Xtal_Prot#'!$A:$BO,11,FALSE),TRUE,FALSE)</f>
        <v>#N/A</v>
      </c>
      <c r="BI11" t="e">
        <f>IF(J11=VLOOKUP($A11,'SegEnds_Xtal_Prot#'!$A:$BO,13,FALSE),TRUE,FALSE)</f>
        <v>#N/A</v>
      </c>
      <c r="BJ11" t="e">
        <f>IF(L11=VLOOKUP($A11,'SegEnds_Xtal_Prot#'!$A:$BO,15,FALSE),TRUE,FALSE)</f>
        <v>#N/A</v>
      </c>
      <c r="BK11" t="e">
        <f>IF(M11=VLOOKUP($A11,'SegEnds_Xtal_Prot#'!$A:$BO,17,FALSE),TRUE,FALSE)</f>
        <v>#N/A</v>
      </c>
      <c r="BL11" t="e">
        <f>IF(O11=VLOOKUP($A11,'SegEnds_Xtal_Prot#'!$A:$BO,19,FALSE),TRUE,FALSE)</f>
        <v>#N/A</v>
      </c>
      <c r="BM11" t="e">
        <f>IF(S11=VLOOKUP($A11,'SegEnds_Xtal_Prot#'!$A:$BO,25,FALSE),TRUE,FALSE)</f>
        <v>#N/A</v>
      </c>
      <c r="BN11" t="e">
        <f>IF(U11=VLOOKUP($A11,'SegEnds_Xtal_Prot#'!$A:$BO,27,FALSE),TRUE,FALSE)</f>
        <v>#N/A</v>
      </c>
      <c r="BO11" t="e">
        <f>IF(Y11=VLOOKUP($A11,'SegEnds_Xtal_Prot#'!$A:$BO,33,FALSE),TRUE,FALSE)</f>
        <v>#N/A</v>
      </c>
      <c r="BP11" t="e">
        <f>IF(AA11=VLOOKUP($A11,'SegEnds_Xtal_Prot#'!$A:$BO,35,FALSE),TRUE,FALSE)</f>
        <v>#N/A</v>
      </c>
      <c r="BQ11" t="e">
        <f>IF(AE11=VLOOKUP($A11,'SegEnds_Xtal_Prot#'!$A:$BO,41,FALSE),TRUE,FALSE)</f>
        <v>#N/A</v>
      </c>
      <c r="BR11" t="e">
        <f>IF(AG11=VLOOKUP($A11,'SegEnds_Xtal_Prot#'!$A:$BO,43,FALSE),TRUE,FALSE)</f>
        <v>#N/A</v>
      </c>
      <c r="BS11" t="e">
        <f>IF(AK11=VLOOKUP($A11,'SegEnds_Xtal_Prot#'!$A:$BO,49,FALSE),TRUE,FALSE)</f>
        <v>#N/A</v>
      </c>
      <c r="BT11" t="e">
        <f>IF(AM11=VLOOKUP($A11,'SegEnds_Xtal_Prot#'!$A:$BO,51,FALSE),TRUE,FALSE)</f>
        <v>#N/A</v>
      </c>
      <c r="BU11" t="e">
        <f>IF(AQ11=VLOOKUP($A11,'SegEnds_Xtal_Prot#'!$A:$BO,57,FALSE),TRUE,FALSE)</f>
        <v>#N/A</v>
      </c>
      <c r="BV11" t="e">
        <f>IF(AS11=VLOOKUP($A11,'SegEnds_Xtal_Prot#'!$A:$BO,59,FALSE),TRUE,FALSE)</f>
        <v>#N/A</v>
      </c>
      <c r="BW11" t="e">
        <f>IF(AW11=VLOOKUP($A11,'SegEnds_Xtal_Prot#'!$A:$BO,65,FALSE),TRUE,FALSE)</f>
        <v>#N/A</v>
      </c>
      <c r="BX11" t="e">
        <f>IF(AY11=VLOOKUP($A11,'SegEnds_Xtal_Prot#'!$A:$BO,67,FALSE),TRUE,FALSE)</f>
        <v>#N/A</v>
      </c>
    </row>
    <row r="12" spans="1:76" x14ac:dyDescent="0.2">
      <c r="A12" t="str">
        <f t="shared" si="3"/>
        <v>S6EXB4_ZYGB2__wt</v>
      </c>
      <c r="B12" t="s">
        <v>90</v>
      </c>
      <c r="C12" t="str">
        <f>VLOOKUP(B12,Seqs!A:B,2,FALSE)</f>
        <v>ste2_yeast</v>
      </c>
      <c r="D12">
        <f>VLOOKUP($B12,'SegEnds_NonXtal_BW#'!$A:$AR,3,FALSE)+E12-50</f>
        <v>11</v>
      </c>
      <c r="E12" s="2">
        <v>12</v>
      </c>
      <c r="F12">
        <f>VLOOKUP($B12,'SegEnds_NonXtal_BW#'!$A:$AR,4,FALSE)+E12-50</f>
        <v>21</v>
      </c>
      <c r="G12">
        <f>VLOOKUP($B12,'SegEnds_NonXtal_BW#'!$A:$AR,5,FALSE)+H12-50</f>
        <v>22</v>
      </c>
      <c r="H12" s="2">
        <v>23</v>
      </c>
      <c r="I12">
        <f>VLOOKUP($B12,'SegEnds_NonXtal_BW#'!$A:$AR,6,FALSE)+H12-50</f>
        <v>23</v>
      </c>
      <c r="J12">
        <f>VLOOKUP($B12,'SegEnds_NonXtal_BW#'!$A:$AR,7,FALSE)+K12-50</f>
        <v>24</v>
      </c>
      <c r="K12" s="2">
        <v>24</v>
      </c>
      <c r="L12">
        <f>VLOOKUP($B12,'SegEnds_NonXtal_BW#'!$A:$AR,8,FALSE)+K12-50</f>
        <v>29</v>
      </c>
      <c r="M12">
        <f>VLOOKUP($B12,'SegEnds_NonXtal_BW#'!$A:$AR,9,FALSE)+N12-50</f>
        <v>30</v>
      </c>
      <c r="N12" s="2">
        <v>55</v>
      </c>
      <c r="O12" s="1">
        <f>VLOOKUP($B12,'SegEnds_NonXtal_BW#'!$A:$AR,10,FALSE)+N12-50</f>
        <v>65</v>
      </c>
      <c r="P12" s="1" t="s">
        <v>66</v>
      </c>
      <c r="Q12" s="2" t="s">
        <v>66</v>
      </c>
      <c r="R12" s="1" t="s">
        <v>66</v>
      </c>
      <c r="S12">
        <f>VLOOKUP($B12,'SegEnds_NonXtal_BW#'!$A:$AR,13,FALSE)+T12-50</f>
        <v>71</v>
      </c>
      <c r="T12" s="2">
        <v>84</v>
      </c>
      <c r="U12">
        <f>VLOOKUP($B12,'SegEnds_NonXtal_BW#'!$A:$AR,14,FALSE)+T12-50</f>
        <v>97</v>
      </c>
      <c r="V12" s="1">
        <f>VLOOKUP($B12,'SegEnds_NonXtal_BW#'!$A:$AR,15,FALSE)+W12-50</f>
        <v>98</v>
      </c>
      <c r="W12" s="2">
        <v>103</v>
      </c>
      <c r="X12" s="1">
        <f>VLOOKUP($B12,'SegEnds_NonXtal_BW#'!$A:$AR,16,FALSE)+W12-50</f>
        <v>113</v>
      </c>
      <c r="Y12">
        <f>VLOOKUP($B12,'SegEnds_NonXtal_BW#'!$A:$AR,17,FALSE)+Z12-50</f>
        <v>114</v>
      </c>
      <c r="Z12" s="2">
        <v>142</v>
      </c>
      <c r="AA12" s="1">
        <f>VLOOKUP($B12,'SegEnds_NonXtal_BW#'!$A:$AR,18,FALSE)+Z12-50</f>
        <v>148</v>
      </c>
      <c r="AB12" s="1" t="s">
        <v>66</v>
      </c>
      <c r="AC12" s="2" t="s">
        <v>66</v>
      </c>
      <c r="AD12" s="1" t="s">
        <v>66</v>
      </c>
      <c r="AE12" s="1">
        <f>VLOOKUP($B12,'SegEnds_NonXtal_BW#'!$A:$AR,21,FALSE)+AF12-50</f>
        <v>154</v>
      </c>
      <c r="AF12" s="2">
        <v>171</v>
      </c>
      <c r="AG12">
        <f>VLOOKUP($B12,'SegEnds_NonXtal_BW#'!$A:$AR,22,FALSE)+AF12-50</f>
        <v>188</v>
      </c>
      <c r="AH12" s="1" t="s">
        <v>66</v>
      </c>
      <c r="AI12" s="2" t="s">
        <v>66</v>
      </c>
      <c r="AJ12" s="1" t="s">
        <v>66</v>
      </c>
      <c r="AK12">
        <f>VLOOKUP($B12,'SegEnds_NonXtal_BW#'!$A:$AR,25,FALSE)+AL12-50</f>
        <v>194</v>
      </c>
      <c r="AL12" s="2">
        <v>204</v>
      </c>
      <c r="AM12">
        <f>VLOOKUP($B12,'SegEnds_NonXtal_BW#'!$A:$AR,26,FALSE)+AL12-50</f>
        <v>229</v>
      </c>
      <c r="AN12" s="1" t="s">
        <v>66</v>
      </c>
      <c r="AO12" s="2" t="s">
        <v>66</v>
      </c>
      <c r="AP12" s="1" t="s">
        <v>66</v>
      </c>
      <c r="AQ12">
        <f>VLOOKUP($B12,'SegEnds_NonXtal_BW#'!$A:$AR,29,FALSE)+AR12-50</f>
        <v>235</v>
      </c>
      <c r="AR12" s="2">
        <v>257</v>
      </c>
      <c r="AS12">
        <f>VLOOKUP($B12,'SegEnds_NonXtal_BW#'!$A:$AR,30,FALSE)+AR12-50</f>
        <v>261</v>
      </c>
      <c r="AT12" s="1" t="s">
        <v>66</v>
      </c>
      <c r="AU12" s="2" t="s">
        <v>66</v>
      </c>
      <c r="AV12" s="1" t="s">
        <v>66</v>
      </c>
      <c r="AW12">
        <f>VLOOKUP($B12,'SegEnds_NonXtal_BW#'!$A:$AR,33,FALSE)+AX12-50</f>
        <v>269</v>
      </c>
      <c r="AX12" s="2">
        <v>280</v>
      </c>
      <c r="AY12">
        <f>VLOOKUP($B12,'SegEnds_NonXtal_BW#'!$A:$AR,34,FALSE)+AX12-50</f>
        <v>299</v>
      </c>
      <c r="AZ12" t="s">
        <v>66</v>
      </c>
      <c r="BA12" s="2" t="s">
        <v>66</v>
      </c>
      <c r="BB12" t="s">
        <v>66</v>
      </c>
      <c r="BD12" t="str">
        <f>IF(COUNTIF('SegEnds_Xtal_Prot#'!B:B,'SegEnds_NonXtal_Prot#'!B12)&gt;0,IF(COUNTIF(BK12:BX12,TRUE)=14,TRUE,FALSE),"NoXtal")</f>
        <v>NoXtal</v>
      </c>
      <c r="BE12" t="e">
        <f>IF(D12=VLOOKUP($A12,'SegEnds_Xtal_Prot#'!$A:$BO,5,FALSE),TRUE,FALSE)</f>
        <v>#N/A</v>
      </c>
      <c r="BF12" t="e">
        <f>IF(F12=VLOOKUP($A12,'SegEnds_Xtal_Prot#'!$A:$BO,7,FALSE),TRUE,FALSE)</f>
        <v>#N/A</v>
      </c>
      <c r="BG12" t="e">
        <f>IF(G12=VLOOKUP($A12,'SegEnds_Xtal_Prot#'!$A:$BO,9,FALSE),TRUE,FALSE)</f>
        <v>#N/A</v>
      </c>
      <c r="BH12" t="e">
        <f>IF(I12=VLOOKUP($A12,'SegEnds_Xtal_Prot#'!$A:$BO,11,FALSE),TRUE,FALSE)</f>
        <v>#N/A</v>
      </c>
      <c r="BI12" t="e">
        <f>IF(J12=VLOOKUP($A12,'SegEnds_Xtal_Prot#'!$A:$BO,13,FALSE),TRUE,FALSE)</f>
        <v>#N/A</v>
      </c>
      <c r="BJ12" t="e">
        <f>IF(L12=VLOOKUP($A12,'SegEnds_Xtal_Prot#'!$A:$BO,15,FALSE),TRUE,FALSE)</f>
        <v>#N/A</v>
      </c>
      <c r="BK12" t="e">
        <f>IF(M12=VLOOKUP($A12,'SegEnds_Xtal_Prot#'!$A:$BO,17,FALSE),TRUE,FALSE)</f>
        <v>#N/A</v>
      </c>
      <c r="BL12" t="e">
        <f>IF(O12=VLOOKUP($A12,'SegEnds_Xtal_Prot#'!$A:$BO,19,FALSE),TRUE,FALSE)</f>
        <v>#N/A</v>
      </c>
      <c r="BM12" t="e">
        <f>IF(S12=VLOOKUP($A12,'SegEnds_Xtal_Prot#'!$A:$BO,25,FALSE),TRUE,FALSE)</f>
        <v>#N/A</v>
      </c>
      <c r="BN12" t="e">
        <f>IF(U12=VLOOKUP($A12,'SegEnds_Xtal_Prot#'!$A:$BO,27,FALSE),TRUE,FALSE)</f>
        <v>#N/A</v>
      </c>
      <c r="BO12" t="e">
        <f>IF(Y12=VLOOKUP($A12,'SegEnds_Xtal_Prot#'!$A:$BO,33,FALSE),TRUE,FALSE)</f>
        <v>#N/A</v>
      </c>
      <c r="BP12" t="e">
        <f>IF(AA12=VLOOKUP($A12,'SegEnds_Xtal_Prot#'!$A:$BO,35,FALSE),TRUE,FALSE)</f>
        <v>#N/A</v>
      </c>
      <c r="BQ12" t="e">
        <f>IF(AE12=VLOOKUP($A12,'SegEnds_Xtal_Prot#'!$A:$BO,41,FALSE),TRUE,FALSE)</f>
        <v>#N/A</v>
      </c>
      <c r="BR12" t="e">
        <f>IF(AG12=VLOOKUP($A12,'SegEnds_Xtal_Prot#'!$A:$BO,43,FALSE),TRUE,FALSE)</f>
        <v>#N/A</v>
      </c>
      <c r="BS12" t="e">
        <f>IF(AK12=VLOOKUP($A12,'SegEnds_Xtal_Prot#'!$A:$BO,49,FALSE),TRUE,FALSE)</f>
        <v>#N/A</v>
      </c>
      <c r="BT12" t="e">
        <f>IF(AM12=VLOOKUP($A12,'SegEnds_Xtal_Prot#'!$A:$BO,51,FALSE),TRUE,FALSE)</f>
        <v>#N/A</v>
      </c>
      <c r="BU12" t="e">
        <f>IF(AQ12=VLOOKUP($A12,'SegEnds_Xtal_Prot#'!$A:$BO,57,FALSE),TRUE,FALSE)</f>
        <v>#N/A</v>
      </c>
      <c r="BV12" t="e">
        <f>IF(AS12=VLOOKUP($A12,'SegEnds_Xtal_Prot#'!$A:$BO,59,FALSE),TRUE,FALSE)</f>
        <v>#N/A</v>
      </c>
      <c r="BW12" t="e">
        <f>IF(AW12=VLOOKUP($A12,'SegEnds_Xtal_Prot#'!$A:$BO,65,FALSE),TRUE,FALSE)</f>
        <v>#N/A</v>
      </c>
      <c r="BX12" t="e">
        <f>IF(AY12=VLOOKUP($A12,'SegEnds_Xtal_Prot#'!$A:$BO,67,FALSE),TRUE,FALSE)</f>
        <v>#N/A</v>
      </c>
    </row>
    <row r="13" spans="1:76" x14ac:dyDescent="0.2">
      <c r="A13" t="str">
        <f t="shared" ref="A13" si="4">CONCATENATE(B13,"__wt")</f>
        <v>C5DX97_ZYGRC__wt</v>
      </c>
      <c r="B13" t="s">
        <v>92</v>
      </c>
      <c r="C13" t="str">
        <f>VLOOKUP(B13,Seqs!A:B,2,FALSE)</f>
        <v>ste2_yeast</v>
      </c>
      <c r="D13">
        <f>VLOOKUP($B13,'SegEnds_NonXtal_BW#'!$A:$AR,3,FALSE)+E13-50</f>
        <v>10</v>
      </c>
      <c r="E13" s="2">
        <v>11</v>
      </c>
      <c r="F13">
        <f>VLOOKUP($B13,'SegEnds_NonXtal_BW#'!$A:$AR,4,FALSE)+E13-50</f>
        <v>20</v>
      </c>
      <c r="G13">
        <f>VLOOKUP($B13,'SegEnds_NonXtal_BW#'!$A:$AR,5,FALSE)+H13-50</f>
        <v>21</v>
      </c>
      <c r="H13" s="2">
        <v>22</v>
      </c>
      <c r="I13">
        <f>VLOOKUP($B13,'SegEnds_NonXtal_BW#'!$A:$AR,6,FALSE)+H13-50</f>
        <v>22</v>
      </c>
      <c r="J13">
        <f>VLOOKUP($B13,'SegEnds_NonXtal_BW#'!$A:$AR,7,FALSE)+K13-50</f>
        <v>23</v>
      </c>
      <c r="K13" s="2">
        <v>23</v>
      </c>
      <c r="L13">
        <f>VLOOKUP($B13,'SegEnds_NonXtal_BW#'!$A:$AR,8,FALSE)+K13-50</f>
        <v>28</v>
      </c>
      <c r="M13">
        <f>VLOOKUP($B13,'SegEnds_NonXtal_BW#'!$A:$AR,9,FALSE)+N13-50</f>
        <v>29</v>
      </c>
      <c r="N13" s="2">
        <v>54</v>
      </c>
      <c r="O13" s="1">
        <f>VLOOKUP($B13,'SegEnds_NonXtal_BW#'!$A:$AR,10,FALSE)+N13-50</f>
        <v>64</v>
      </c>
      <c r="P13" s="1" t="s">
        <v>66</v>
      </c>
      <c r="Q13" s="2" t="s">
        <v>66</v>
      </c>
      <c r="R13" s="1" t="s">
        <v>66</v>
      </c>
      <c r="S13">
        <f>VLOOKUP($B13,'SegEnds_NonXtal_BW#'!$A:$AR,13,FALSE)+T13-50</f>
        <v>70</v>
      </c>
      <c r="T13" s="2">
        <v>83</v>
      </c>
      <c r="U13">
        <f>VLOOKUP($B13,'SegEnds_NonXtal_BW#'!$A:$AR,14,FALSE)+T13-50</f>
        <v>96</v>
      </c>
      <c r="V13" s="1">
        <f>VLOOKUP($B13,'SegEnds_NonXtal_BW#'!$A:$AR,15,FALSE)+W13-50</f>
        <v>97</v>
      </c>
      <c r="W13" s="2">
        <v>102</v>
      </c>
      <c r="X13" s="1">
        <f>VLOOKUP($B13,'SegEnds_NonXtal_BW#'!$A:$AR,16,FALSE)+W13-50</f>
        <v>112</v>
      </c>
      <c r="Y13">
        <f>VLOOKUP($B13,'SegEnds_NonXtal_BW#'!$A:$AR,17,FALSE)+Z13-50</f>
        <v>113</v>
      </c>
      <c r="Z13" s="2">
        <v>141</v>
      </c>
      <c r="AA13" s="1">
        <f>VLOOKUP($B13,'SegEnds_NonXtal_BW#'!$A:$AR,18,FALSE)+Z13-50</f>
        <v>147</v>
      </c>
      <c r="AB13" s="1" t="s">
        <v>66</v>
      </c>
      <c r="AC13" s="2" t="s">
        <v>66</v>
      </c>
      <c r="AD13" s="1" t="s">
        <v>66</v>
      </c>
      <c r="AE13" s="1">
        <f>VLOOKUP($B13,'SegEnds_NonXtal_BW#'!$A:$AR,21,FALSE)+AF13-50</f>
        <v>153</v>
      </c>
      <c r="AF13" s="2">
        <v>170</v>
      </c>
      <c r="AG13">
        <f>VLOOKUP($B13,'SegEnds_NonXtal_BW#'!$A:$AR,22,FALSE)+AF13-50</f>
        <v>187</v>
      </c>
      <c r="AH13" s="1" t="s">
        <v>66</v>
      </c>
      <c r="AI13" s="2" t="s">
        <v>66</v>
      </c>
      <c r="AJ13" s="1" t="s">
        <v>66</v>
      </c>
      <c r="AK13">
        <f>VLOOKUP($B13,'SegEnds_NonXtal_BW#'!$A:$AR,25,FALSE)+AL13-50</f>
        <v>193</v>
      </c>
      <c r="AL13" s="2">
        <v>203</v>
      </c>
      <c r="AM13">
        <f>VLOOKUP($B13,'SegEnds_NonXtal_BW#'!$A:$AR,26,FALSE)+AL13-50</f>
        <v>228</v>
      </c>
      <c r="AN13" s="1" t="s">
        <v>66</v>
      </c>
      <c r="AO13" s="2" t="s">
        <v>66</v>
      </c>
      <c r="AP13" s="1" t="s">
        <v>66</v>
      </c>
      <c r="AQ13">
        <f>VLOOKUP($B13,'SegEnds_NonXtal_BW#'!$A:$AR,29,FALSE)+AR13-50</f>
        <v>234</v>
      </c>
      <c r="AR13" s="2">
        <v>256</v>
      </c>
      <c r="AS13">
        <f>VLOOKUP($B13,'SegEnds_NonXtal_BW#'!$A:$AR,30,FALSE)+AR13-50</f>
        <v>260</v>
      </c>
      <c r="AT13" s="1" t="s">
        <v>66</v>
      </c>
      <c r="AU13" s="2" t="s">
        <v>66</v>
      </c>
      <c r="AV13" s="1" t="s">
        <v>66</v>
      </c>
      <c r="AW13">
        <f>VLOOKUP($B13,'SegEnds_NonXtal_BW#'!$A:$AR,33,FALSE)+AX13-50</f>
        <v>268</v>
      </c>
      <c r="AX13" s="2">
        <v>279</v>
      </c>
      <c r="AY13">
        <f>VLOOKUP($B13,'SegEnds_NonXtal_BW#'!$A:$AR,34,FALSE)+AX13-50</f>
        <v>298</v>
      </c>
      <c r="AZ13" t="s">
        <v>66</v>
      </c>
      <c r="BA13" s="2" t="s">
        <v>66</v>
      </c>
      <c r="BB13" t="s">
        <v>66</v>
      </c>
      <c r="BD13" t="str">
        <f>IF(COUNTIF('SegEnds_Xtal_Prot#'!B:B,'SegEnds_NonXtal_Prot#'!B13)&gt;0,IF(COUNTIF(BK13:BX13,TRUE)=14,TRUE,FALSE),"NoXtal")</f>
        <v>NoXtal</v>
      </c>
      <c r="BE13" t="e">
        <f>IF(D13=VLOOKUP($A13,'SegEnds_Xtal_Prot#'!$A:$BO,5,FALSE),TRUE,FALSE)</f>
        <v>#N/A</v>
      </c>
      <c r="BF13" t="e">
        <f>IF(F13=VLOOKUP($A13,'SegEnds_Xtal_Prot#'!$A:$BO,7,FALSE),TRUE,FALSE)</f>
        <v>#N/A</v>
      </c>
      <c r="BG13" t="e">
        <f>IF(G13=VLOOKUP($A13,'SegEnds_Xtal_Prot#'!$A:$BO,9,FALSE),TRUE,FALSE)</f>
        <v>#N/A</v>
      </c>
      <c r="BH13" t="e">
        <f>IF(I13=VLOOKUP($A13,'SegEnds_Xtal_Prot#'!$A:$BO,11,FALSE),TRUE,FALSE)</f>
        <v>#N/A</v>
      </c>
      <c r="BI13" t="e">
        <f>IF(J13=VLOOKUP($A13,'SegEnds_Xtal_Prot#'!$A:$BO,13,FALSE),TRUE,FALSE)</f>
        <v>#N/A</v>
      </c>
      <c r="BJ13" t="e">
        <f>IF(L13=VLOOKUP($A13,'SegEnds_Xtal_Prot#'!$A:$BO,15,FALSE),TRUE,FALSE)</f>
        <v>#N/A</v>
      </c>
      <c r="BK13" t="e">
        <f>IF(M13=VLOOKUP($A13,'SegEnds_Xtal_Prot#'!$A:$BO,17,FALSE),TRUE,FALSE)</f>
        <v>#N/A</v>
      </c>
      <c r="BL13" t="e">
        <f>IF(O13=VLOOKUP($A13,'SegEnds_Xtal_Prot#'!$A:$BO,19,FALSE),TRUE,FALSE)</f>
        <v>#N/A</v>
      </c>
      <c r="BM13" t="e">
        <f>IF(S13=VLOOKUP($A13,'SegEnds_Xtal_Prot#'!$A:$BO,25,FALSE),TRUE,FALSE)</f>
        <v>#N/A</v>
      </c>
      <c r="BN13" t="e">
        <f>IF(U13=VLOOKUP($A13,'SegEnds_Xtal_Prot#'!$A:$BO,27,FALSE),TRUE,FALSE)</f>
        <v>#N/A</v>
      </c>
      <c r="BO13" t="e">
        <f>IF(Y13=VLOOKUP($A13,'SegEnds_Xtal_Prot#'!$A:$BO,33,FALSE),TRUE,FALSE)</f>
        <v>#N/A</v>
      </c>
      <c r="BP13" t="e">
        <f>IF(AA13=VLOOKUP($A13,'SegEnds_Xtal_Prot#'!$A:$BO,35,FALSE),TRUE,FALSE)</f>
        <v>#N/A</v>
      </c>
      <c r="BQ13" t="e">
        <f>IF(AE13=VLOOKUP($A13,'SegEnds_Xtal_Prot#'!$A:$BO,41,FALSE),TRUE,FALSE)</f>
        <v>#N/A</v>
      </c>
      <c r="BR13" t="e">
        <f>IF(AG13=VLOOKUP($A13,'SegEnds_Xtal_Prot#'!$A:$BO,43,FALSE),TRUE,FALSE)</f>
        <v>#N/A</v>
      </c>
      <c r="BS13" t="e">
        <f>IF(AK13=VLOOKUP($A13,'SegEnds_Xtal_Prot#'!$A:$BO,49,FALSE),TRUE,FALSE)</f>
        <v>#N/A</v>
      </c>
      <c r="BT13" t="e">
        <f>IF(AM13=VLOOKUP($A13,'SegEnds_Xtal_Prot#'!$A:$BO,51,FALSE),TRUE,FALSE)</f>
        <v>#N/A</v>
      </c>
      <c r="BU13" t="e">
        <f>IF(AQ13=VLOOKUP($A13,'SegEnds_Xtal_Prot#'!$A:$BO,57,FALSE),TRUE,FALSE)</f>
        <v>#N/A</v>
      </c>
      <c r="BV13" t="e">
        <f>IF(AS13=VLOOKUP($A13,'SegEnds_Xtal_Prot#'!$A:$BO,59,FALSE),TRUE,FALSE)</f>
        <v>#N/A</v>
      </c>
      <c r="BW13" t="e">
        <f>IF(AW13=VLOOKUP($A13,'SegEnds_Xtal_Prot#'!$A:$BO,65,FALSE),TRUE,FALSE)</f>
        <v>#N/A</v>
      </c>
      <c r="BX13" t="e">
        <f>IF(AY13=VLOOKUP($A13,'SegEnds_Xtal_Prot#'!$A:$BO,67,FALSE),TRUE,FALSE)</f>
        <v>#N/A</v>
      </c>
    </row>
  </sheetData>
  <conditionalFormatting sqref="BD1:BJ1 BD14:BJ1048576 BD2:BD13">
    <cfRule type="containsText" dxfId="1" priority="1" operator="containsText" text="TRUE">
      <formula>NOT(ISERROR(SEARCH("TRUE",BD1)))</formula>
    </cfRule>
    <cfRule type="containsText" dxfId="0" priority="2" operator="containsText" text="FALSE">
      <formula>NOT(ISERROR(SEARCH("FALSE",BD1)))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A13" sqref="A13"/>
    </sheetView>
  </sheetViews>
  <sheetFormatPr baseColWidth="10" defaultRowHeight="16" x14ac:dyDescent="0.2"/>
  <cols>
    <col min="1" max="1" width="19.5" bestFit="1" customWidth="1"/>
    <col min="2" max="2" width="10" bestFit="1" customWidth="1"/>
    <col min="3" max="3" width="2.6640625" bestFit="1" customWidth="1"/>
    <col min="4" max="4" width="7.6640625" bestFit="1" customWidth="1"/>
    <col min="5" max="5" width="5" bestFit="1" customWidth="1"/>
    <col min="6" max="8" width="6" bestFit="1" customWidth="1"/>
    <col min="9" max="9" width="7" bestFit="1" customWidth="1"/>
    <col min="10" max="10" width="6" bestFit="1" customWidth="1"/>
    <col min="11" max="14" width="5" bestFit="1" customWidth="1"/>
    <col min="15" max="19" width="6" bestFit="1" customWidth="1"/>
    <col min="20" max="20" width="5" bestFit="1" customWidth="1"/>
    <col min="21" max="21" width="6" bestFit="1" customWidth="1"/>
  </cols>
  <sheetData>
    <row r="1" spans="1:21" x14ac:dyDescent="0.2">
      <c r="A1" s="3" t="s">
        <v>0</v>
      </c>
      <c r="B1" s="7" t="s">
        <v>43</v>
      </c>
      <c r="C1" s="8" t="s">
        <v>44</v>
      </c>
      <c r="D1" s="8" t="s">
        <v>19</v>
      </c>
      <c r="E1" s="8" t="s">
        <v>45</v>
      </c>
      <c r="F1" s="9" t="s">
        <v>46</v>
      </c>
      <c r="G1" s="10" t="s">
        <v>47</v>
      </c>
      <c r="H1" s="11" t="s">
        <v>48</v>
      </c>
      <c r="I1" s="10" t="s">
        <v>49</v>
      </c>
      <c r="J1" s="12" t="s">
        <v>50</v>
      </c>
      <c r="K1" s="12" t="s">
        <v>51</v>
      </c>
      <c r="L1" s="10" t="s">
        <v>52</v>
      </c>
      <c r="M1" s="10" t="s">
        <v>53</v>
      </c>
      <c r="N1" s="10" t="s">
        <v>54</v>
      </c>
      <c r="O1" s="12" t="s">
        <v>55</v>
      </c>
      <c r="P1" s="12" t="s">
        <v>56</v>
      </c>
      <c r="Q1" s="12" t="s">
        <v>57</v>
      </c>
      <c r="R1" s="10" t="s">
        <v>58</v>
      </c>
      <c r="S1" s="10" t="s">
        <v>59</v>
      </c>
      <c r="T1" s="10" t="s">
        <v>60</v>
      </c>
      <c r="U1" s="10" t="s">
        <v>61</v>
      </c>
    </row>
    <row r="2" spans="1:21" x14ac:dyDescent="0.2">
      <c r="A2" s="1" t="s">
        <v>17</v>
      </c>
      <c r="B2" t="str">
        <f>VLOOKUP(A2,Seqs!A:B,2,FALSE)</f>
        <v>ste2_yeast</v>
      </c>
      <c r="C2" t="s">
        <v>62</v>
      </c>
      <c r="D2" t="str">
        <f>IF(ISERROR(MATCH(A2,'SegEnds_Xtal_Prot#'!B:B, 0)), "NoXtal", "Xtal")</f>
        <v>Xtal</v>
      </c>
    </row>
    <row r="3" spans="1:21" x14ac:dyDescent="0.2">
      <c r="A3" s="1" t="s">
        <v>31</v>
      </c>
      <c r="B3" t="str">
        <f>VLOOKUP(A3,Seqs!A:B,2,FALSE)</f>
        <v>ste2_yeast</v>
      </c>
      <c r="C3" t="s">
        <v>62</v>
      </c>
      <c r="D3" t="str">
        <f>IF(ISERROR(MATCH(A3,'SegEnds_Xtal_Prot#'!B:B, 0)), "NoXtal", "Xtal")</f>
        <v>NoXtal</v>
      </c>
    </row>
    <row r="4" spans="1:21" x14ac:dyDescent="0.2">
      <c r="A4" s="1" t="s">
        <v>33</v>
      </c>
      <c r="B4" t="str">
        <f>VLOOKUP(A4,Seqs!A:B,2,FALSE)</f>
        <v>ste2_yeast</v>
      </c>
      <c r="C4" t="s">
        <v>62</v>
      </c>
      <c r="D4" t="str">
        <f>IF(ISERROR(MATCH(A4,'SegEnds_Xtal_Prot#'!B:B, 0)), "NoXtal", "Xtal")</f>
        <v>NoXtal</v>
      </c>
    </row>
    <row r="5" spans="1:21" x14ac:dyDescent="0.2">
      <c r="A5" s="1" t="s">
        <v>35</v>
      </c>
      <c r="B5" t="str">
        <f>VLOOKUP(A5,Seqs!A:B,2,FALSE)</f>
        <v>ste2_yeast</v>
      </c>
      <c r="C5" t="s">
        <v>62</v>
      </c>
      <c r="D5" t="str">
        <f>IF(ISERROR(MATCH(A5,'SegEnds_Xtal_Prot#'!B:B, 0)), "NoXtal", "Xtal")</f>
        <v>NoXtal</v>
      </c>
    </row>
    <row r="6" spans="1:21" x14ac:dyDescent="0.2">
      <c r="A6" s="1" t="s">
        <v>37</v>
      </c>
      <c r="B6" t="str">
        <f>VLOOKUP(A6,Seqs!A:B,2,FALSE)</f>
        <v>ste2_yeast</v>
      </c>
      <c r="C6" t="s">
        <v>62</v>
      </c>
      <c r="D6" t="str">
        <f>IF(ISERROR(MATCH(A6,'SegEnds_Xtal_Prot#'!B:B, 0)), "NoXtal", "Xtal")</f>
        <v>NoXtal</v>
      </c>
    </row>
    <row r="7" spans="1:21" x14ac:dyDescent="0.2">
      <c r="A7" s="1" t="s">
        <v>39</v>
      </c>
      <c r="B7" t="str">
        <f>VLOOKUP(A7,Seqs!A:B,2,FALSE)</f>
        <v>ste2_yeast</v>
      </c>
      <c r="C7" t="s">
        <v>62</v>
      </c>
      <c r="D7" t="str">
        <f>IF(ISERROR(MATCH(A7,'SegEnds_Xtal_Prot#'!B:B, 0)), "NoXtal", "Xtal")</f>
        <v>NoXtal</v>
      </c>
    </row>
    <row r="8" spans="1:21" x14ac:dyDescent="0.2">
      <c r="A8" s="1" t="s">
        <v>41</v>
      </c>
      <c r="B8" t="str">
        <f>VLOOKUP(A8,Seqs!A:B,2,FALSE)</f>
        <v>ste2_yeast</v>
      </c>
      <c r="C8" t="s">
        <v>62</v>
      </c>
      <c r="D8" t="str">
        <f>IF(ISERROR(MATCH(A8,'SegEnds_Xtal_Prot#'!B:B, 0)), "NoXtal", "Xtal")</f>
        <v>NoXtal</v>
      </c>
    </row>
    <row r="9" spans="1:21" x14ac:dyDescent="0.2">
      <c r="A9" s="1" t="s">
        <v>83</v>
      </c>
      <c r="B9" t="str">
        <f>VLOOKUP(A9,Seqs!A:B,2,FALSE)</f>
        <v>ste2_yeast</v>
      </c>
      <c r="C9" t="s">
        <v>62</v>
      </c>
      <c r="D9" t="str">
        <f>IF(ISERROR(MATCH(A9,'SegEnds_Xtal_Prot#'!B:B, 0)), "NoXtal", "Xtal")</f>
        <v>NoXtal</v>
      </c>
    </row>
    <row r="10" spans="1:21" x14ac:dyDescent="0.2">
      <c r="A10" s="1" t="s">
        <v>86</v>
      </c>
      <c r="B10" t="str">
        <f>VLOOKUP(A10,Seqs!A:B,2,FALSE)</f>
        <v>ste2_yeast</v>
      </c>
      <c r="C10" t="s">
        <v>62</v>
      </c>
      <c r="D10" t="str">
        <f>IF(ISERROR(MATCH(A10,'SegEnds_Xtal_Prot#'!B:B, 0)), "NoXtal", "Xtal")</f>
        <v>NoXtal</v>
      </c>
    </row>
    <row r="11" spans="1:21" x14ac:dyDescent="0.2">
      <c r="A11" t="s">
        <v>88</v>
      </c>
      <c r="B11" t="str">
        <f>VLOOKUP(A11,Seqs!A:B,2,FALSE)</f>
        <v>ste2_yeast</v>
      </c>
      <c r="C11" t="s">
        <v>62</v>
      </c>
      <c r="D11" t="str">
        <f>IF(ISERROR(MATCH(A11,'SegEnds_Xtal_Prot#'!B:B, 0)), "NoXtal", "Xtal")</f>
        <v>NoXtal</v>
      </c>
    </row>
    <row r="12" spans="1:21" x14ac:dyDescent="0.2">
      <c r="A12" t="s">
        <v>90</v>
      </c>
      <c r="B12" t="str">
        <f>VLOOKUP(A12,Seqs!A:B,2,FALSE)</f>
        <v>ste2_yeast</v>
      </c>
      <c r="C12" t="s">
        <v>62</v>
      </c>
      <c r="D12" t="str">
        <f>IF(ISERROR(MATCH(A12,'SegEnds_Xtal_Prot#'!B:B, 0)), "NoXtal", "Xtal")</f>
        <v>NoXtal</v>
      </c>
    </row>
    <row r="13" spans="1:21" x14ac:dyDescent="0.2">
      <c r="A13" t="s">
        <v>92</v>
      </c>
      <c r="B13" t="str">
        <f>VLOOKUP(A13,Seqs!A:B,2,FALSE)</f>
        <v>ste2_yeast</v>
      </c>
      <c r="C13" t="s">
        <v>62</v>
      </c>
      <c r="D13" t="str">
        <f>IF(ISERROR(MATCH(A13,'SegEnds_Xtal_Prot#'!B:B, 0)), "NoXtal", "Xtal")</f>
        <v>NoXtal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3" sqref="A13"/>
    </sheetView>
  </sheetViews>
  <sheetFormatPr baseColWidth="10" defaultRowHeight="16" x14ac:dyDescent="0.2"/>
  <cols>
    <col min="1" max="1" width="18.33203125" bestFit="1" customWidth="1"/>
    <col min="2" max="2" width="12.6640625" bestFit="1" customWidth="1"/>
  </cols>
  <sheetData>
    <row r="1" spans="1:4" x14ac:dyDescent="0.2">
      <c r="A1" t="s">
        <v>0</v>
      </c>
      <c r="B1" t="s">
        <v>20</v>
      </c>
      <c r="C1" t="s">
        <v>18</v>
      </c>
      <c r="D1" t="s">
        <v>19</v>
      </c>
    </row>
    <row r="2" spans="1:4" x14ac:dyDescent="0.2">
      <c r="A2" t="s">
        <v>17</v>
      </c>
      <c r="B2" t="s">
        <v>17</v>
      </c>
      <c r="C2" t="s">
        <v>21</v>
      </c>
      <c r="D2" t="str">
        <f>IF(ISERROR(MATCH(A2,'SegEnds_Xtal_Prot#'!B:B, 0)), "NoXtal", "Xtal")</f>
        <v>Xtal</v>
      </c>
    </row>
    <row r="3" spans="1:4" x14ac:dyDescent="0.2">
      <c r="A3" t="s">
        <v>31</v>
      </c>
      <c r="B3" t="s">
        <v>17</v>
      </c>
      <c r="C3" t="s">
        <v>32</v>
      </c>
      <c r="D3" t="str">
        <f>IF(ISERROR(MATCH(A3,'SegEnds_Xtal_Prot#'!B:B, 0)), "NoXtal", "Xtal")</f>
        <v>NoXtal</v>
      </c>
    </row>
    <row r="4" spans="1:4" x14ac:dyDescent="0.2">
      <c r="A4" t="s">
        <v>33</v>
      </c>
      <c r="B4" t="s">
        <v>17</v>
      </c>
      <c r="C4" t="s">
        <v>34</v>
      </c>
      <c r="D4" t="str">
        <f>IF(ISERROR(MATCH(A4,'SegEnds_Xtal_Prot#'!B:B, 0)), "NoXtal", "Xtal")</f>
        <v>NoXtal</v>
      </c>
    </row>
    <row r="5" spans="1:4" x14ac:dyDescent="0.2">
      <c r="A5" t="s">
        <v>35</v>
      </c>
      <c r="B5" t="s">
        <v>17</v>
      </c>
      <c r="C5" t="s">
        <v>36</v>
      </c>
      <c r="D5" t="str">
        <f>IF(ISERROR(MATCH(A5,'SegEnds_Xtal_Prot#'!B:B, 0)), "NoXtal", "Xtal")</f>
        <v>NoXtal</v>
      </c>
    </row>
    <row r="6" spans="1:4" x14ac:dyDescent="0.2">
      <c r="A6" t="s">
        <v>37</v>
      </c>
      <c r="B6" t="s">
        <v>17</v>
      </c>
      <c r="C6" t="s">
        <v>38</v>
      </c>
      <c r="D6" t="str">
        <f>IF(ISERROR(MATCH(A6,'SegEnds_Xtal_Prot#'!B:B, 0)), "NoXtal", "Xtal")</f>
        <v>NoXtal</v>
      </c>
    </row>
    <row r="7" spans="1:4" x14ac:dyDescent="0.2">
      <c r="A7" t="s">
        <v>39</v>
      </c>
      <c r="B7" t="s">
        <v>17</v>
      </c>
      <c r="C7" t="s">
        <v>40</v>
      </c>
      <c r="D7" t="str">
        <f>IF(ISERROR(MATCH(A7,'SegEnds_Xtal_Prot#'!B:B, 0)), "NoXtal", "Xtal")</f>
        <v>NoXtal</v>
      </c>
    </row>
    <row r="8" spans="1:4" x14ac:dyDescent="0.2">
      <c r="A8" t="s">
        <v>41</v>
      </c>
      <c r="B8" t="s">
        <v>17</v>
      </c>
      <c r="C8" t="s">
        <v>42</v>
      </c>
      <c r="D8" t="str">
        <f>IF(ISERROR(MATCH(A8,'SegEnds_Xtal_Prot#'!B:B, 0)), "NoXtal", "Xtal")</f>
        <v>NoXtal</v>
      </c>
    </row>
    <row r="9" spans="1:4" x14ac:dyDescent="0.2">
      <c r="A9" t="s">
        <v>83</v>
      </c>
      <c r="B9" t="s">
        <v>17</v>
      </c>
      <c r="C9" s="14" t="s">
        <v>84</v>
      </c>
      <c r="D9" t="str">
        <f>IF(ISERROR(MATCH(A9,'SegEnds_Xtal_Prot#'!B:B, 0)), "NoXtal", "Xtal")</f>
        <v>NoXtal</v>
      </c>
    </row>
    <row r="10" spans="1:4" x14ac:dyDescent="0.2">
      <c r="A10" t="s">
        <v>86</v>
      </c>
      <c r="B10" t="s">
        <v>17</v>
      </c>
      <c r="C10" s="14" t="s">
        <v>85</v>
      </c>
      <c r="D10" t="str">
        <f>IF(ISERROR(MATCH(A10,'SegEnds_Xtal_Prot#'!B:B, 0)), "NoXtal", "Xtal")</f>
        <v>NoXtal</v>
      </c>
    </row>
    <row r="11" spans="1:4" x14ac:dyDescent="0.2">
      <c r="A11" t="s">
        <v>88</v>
      </c>
      <c r="B11" t="s">
        <v>17</v>
      </c>
      <c r="C11" s="14" t="s">
        <v>87</v>
      </c>
      <c r="D11" t="str">
        <f>IF(ISERROR(MATCH(A11,'SegEnds_Xtal_Prot#'!B:B, 0)), "NoXtal", "Xtal")</f>
        <v>NoXtal</v>
      </c>
    </row>
    <row r="12" spans="1:4" x14ac:dyDescent="0.2">
      <c r="A12" t="s">
        <v>90</v>
      </c>
      <c r="B12" t="s">
        <v>17</v>
      </c>
      <c r="C12" s="14" t="s">
        <v>89</v>
      </c>
      <c r="D12" t="str">
        <f>IF(ISERROR(MATCH(A12,'SegEnds_Xtal_Prot#'!B:B, 0)), "NoXtal", "Xtal")</f>
        <v>NoXtal</v>
      </c>
    </row>
    <row r="13" spans="1:4" x14ac:dyDescent="0.2">
      <c r="A13" t="s">
        <v>92</v>
      </c>
      <c r="B13" t="s">
        <v>17</v>
      </c>
      <c r="C13" s="14" t="s">
        <v>91</v>
      </c>
      <c r="D13" t="str">
        <f>IF(ISERROR(MATCH(A13,'SegEnds_Xtal_Prot#'!B:B, 0)), "NoXtal", "Xtal")</f>
        <v>NoXtal</v>
      </c>
    </row>
    <row r="14" spans="1:4" ht="17" x14ac:dyDescent="0.25">
      <c r="C14" s="13"/>
    </row>
    <row r="15" spans="1:4" ht="17" x14ac:dyDescent="0.25">
      <c r="C15" s="13"/>
    </row>
    <row r="16" spans="1:4" ht="17" x14ac:dyDescent="0.25">
      <c r="C1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SegEnds_Xtal_Prot#</vt:lpstr>
      <vt:lpstr>SegEnds_Xtal_BW#</vt:lpstr>
      <vt:lpstr>SegEnds_NonXtal_BW#</vt:lpstr>
      <vt:lpstr>SegEnds_NonXtal_Prot#</vt:lpstr>
      <vt:lpstr>Bulges_Constrictions</vt:lpstr>
      <vt:lpstr>Seqs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2020-02-25T10:20:18Z</dcterms:created>
  <dcterms:modified xsi:type="dcterms:W3CDTF">2021-01-11T13:51:46Z</dcterms:modified>
</cp:coreProperties>
</file>